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20" windowHeight="7770" tabRatio="963" activeTab="0"/>
  </bookViews>
  <sheets>
    <sheet name="Data" sheetId="1" r:id="rId1"/>
    <sheet name="Proceedings" sheetId="2" r:id="rId2"/>
    <sheet name="Calculation sheet" sheetId="3" r:id="rId3"/>
    <sheet name="ANNEXURE C" sheetId="4" r:id="rId4"/>
    <sheet name="Annexure C (back page)" sheetId="5" r:id="rId5"/>
    <sheet name="APTC Form 40-(P)" sheetId="6" r:id="rId6"/>
    <sheet name="APTC Form 40-(P)back page" sheetId="7" r:id="rId7"/>
    <sheet name="Paper Token101(P)" sheetId="8" r:id="rId8"/>
    <sheet name="APTC Form 40 (I)" sheetId="9" r:id="rId9"/>
    <sheet name="APTC Form 40 back page (I)" sheetId="10" r:id="rId10"/>
    <sheet name="Paper Token101 (I)" sheetId="11" r:id="rId11"/>
    <sheet name="Proceedings (Insurance)" sheetId="12" r:id="rId12"/>
    <sheet name="Insurance Form 40" sheetId="13" r:id="rId13"/>
    <sheet name="Insurance-Form 40 back page" sheetId="14" r:id="rId14"/>
    <sheet name="Insurance - Paper Token101" sheetId="15" r:id="rId15"/>
  </sheets>
  <externalReferences>
    <externalReference r:id="rId18"/>
  </externalReferences>
  <definedNames>
    <definedName name="_xlnm.Print_Area" localSheetId="3">'ANNEXURE C'!$B$2:$G$30</definedName>
    <definedName name="_xlnm.Print_Area" localSheetId="8">'APTC Form 40 (I)'!$B$2:$U$49</definedName>
    <definedName name="_xlnm.Print_Area" localSheetId="9">'APTC Form 40 back page (I)'!$B$2:$I$26</definedName>
    <definedName name="_xlnm.Print_Area" localSheetId="5">'APTC Form 40-(P)'!$B$2:$U$49</definedName>
    <definedName name="_xlnm.Print_Area" localSheetId="6">'APTC Form 40-(P)back page'!$B$2:$I$26</definedName>
    <definedName name="_xlnm.Print_Area" localSheetId="2">'Calculation sheet'!$B$2:$J$28</definedName>
    <definedName name="_xlnm.Print_Area" localSheetId="14">'Insurance - Paper Token101'!$B$2:$AU$45</definedName>
    <definedName name="_xlnm.Print_Area" localSheetId="12">'Insurance Form 40'!$B$2:$U$49</definedName>
    <definedName name="_xlnm.Print_Area" localSheetId="13">'Insurance-Form 40 back page'!$B$2:$I$26</definedName>
    <definedName name="_xlnm.Print_Area" localSheetId="10">'Paper Token101 (I)'!$B$2:$AU$45</definedName>
    <definedName name="_xlnm.Print_Area" localSheetId="7">'Paper Token101(P)'!$B$2:$AU$45</definedName>
    <definedName name="_xlnm.Print_Area" localSheetId="1">'Proceedings'!$B$2:$I$31</definedName>
    <definedName name="_xlnm.Print_Area" localSheetId="11">'Proceedings (Insurance)'!$B$2:$I$22</definedName>
  </definedNames>
  <calcPr fullCalcOnLoad="1"/>
</workbook>
</file>

<file path=xl/sharedStrings.xml><?xml version="1.0" encoding="utf-8"?>
<sst xmlns="http://schemas.openxmlformats.org/spreadsheetml/2006/main" count="1795" uniqueCount="344">
  <si>
    <t>Designation</t>
  </si>
  <si>
    <t>From</t>
  </si>
  <si>
    <t>To</t>
  </si>
  <si>
    <t>Remarks</t>
  </si>
  <si>
    <t>Subsription Recovered and remitted :</t>
  </si>
  <si>
    <t xml:space="preserve">From </t>
  </si>
  <si>
    <t xml:space="preserve">to </t>
  </si>
  <si>
    <t>Principle</t>
  </si>
  <si>
    <t>Interest</t>
  </si>
  <si>
    <t>Total</t>
  </si>
  <si>
    <t>No of Months</t>
  </si>
  <si>
    <t>Minor Head</t>
  </si>
  <si>
    <t>Drawing Officer</t>
  </si>
  <si>
    <t>Budget Details</t>
  </si>
  <si>
    <t>FOR   USE   IN   ACCOUNTANT   GENARL   OFFICER</t>
  </si>
  <si>
    <t>Detailed Head</t>
  </si>
  <si>
    <t>Sub Head</t>
  </si>
  <si>
    <t>Sub Major Head</t>
  </si>
  <si>
    <t xml:space="preserve">Total </t>
  </si>
  <si>
    <t xml:space="preserve">ZPHS </t>
  </si>
  <si>
    <t>( For Treasury  Use Only)</t>
  </si>
  <si>
    <t>Date : ……………………</t>
  </si>
  <si>
    <t>Treasury / P.A.O. Code</t>
  </si>
  <si>
    <t>Trans ID :</t>
  </si>
  <si>
    <t>D.D.O. Code</t>
  </si>
  <si>
    <t>D.D.O.Designation</t>
  </si>
  <si>
    <t>DDO Office Name :</t>
  </si>
  <si>
    <t>Bank Code</t>
  </si>
  <si>
    <t>Head of Account</t>
  </si>
  <si>
    <t>Majot Head</t>
  </si>
  <si>
    <t>Group Sub-Head</t>
  </si>
  <si>
    <t>N</t>
  </si>
  <si>
    <t>Charged = C / Voted = V</t>
  </si>
  <si>
    <t>V</t>
  </si>
  <si>
    <t>FOR USE IN TREASURY / PAY &amp; ACCOUNTS OFFICER ONLY</t>
  </si>
  <si>
    <t>Pay Rs. ______________ ( Rupees ____________________________________________________________________________</t>
  </si>
  <si>
    <t>__________________________________________________________________________________________________________</t>
  </si>
  <si>
    <t>Treasury Officer / Pay &amp; Accounts Officer</t>
  </si>
  <si>
    <t>One</t>
  </si>
  <si>
    <t>Two</t>
  </si>
  <si>
    <t xml:space="preserve">Twenty </t>
  </si>
  <si>
    <t>Three</t>
  </si>
  <si>
    <t xml:space="preserve">Thirty </t>
  </si>
  <si>
    <t>Four</t>
  </si>
  <si>
    <t xml:space="preserve">Forty </t>
  </si>
  <si>
    <t>Five</t>
  </si>
  <si>
    <t xml:space="preserve">Fifty </t>
  </si>
  <si>
    <t>Six</t>
  </si>
  <si>
    <t xml:space="preserve">Sixty </t>
  </si>
  <si>
    <t>Seven</t>
  </si>
  <si>
    <t xml:space="preserve">Seventy </t>
  </si>
  <si>
    <t>Eight</t>
  </si>
  <si>
    <t xml:space="preserve">Eighty </t>
  </si>
  <si>
    <t>Nine</t>
  </si>
  <si>
    <t xml:space="preserve">Ninety </t>
  </si>
  <si>
    <t>Ten</t>
  </si>
  <si>
    <t>Eleven</t>
  </si>
  <si>
    <t>Twelve</t>
  </si>
  <si>
    <t>Thirteen</t>
  </si>
  <si>
    <t>Fourteen</t>
  </si>
  <si>
    <t>Fifteen</t>
  </si>
  <si>
    <t>Sixteen</t>
  </si>
  <si>
    <t>Seventeen</t>
  </si>
  <si>
    <t>Eighteen</t>
  </si>
  <si>
    <t>Nineteen</t>
  </si>
  <si>
    <t>For the Month &amp; Year</t>
  </si>
  <si>
    <t xml:space="preserve">Bill For </t>
  </si>
  <si>
    <t xml:space="preserve">District : </t>
  </si>
  <si>
    <t>Sub-Detailed Head</t>
  </si>
  <si>
    <t>Office Bill No / D. D. O’s T.B.R No</t>
  </si>
  <si>
    <t>Bank Branch Name :</t>
  </si>
  <si>
    <t xml:space="preserve">Contigency Fund MH                 Service Major Head </t>
  </si>
  <si>
    <t xml:space="preserve"> </t>
  </si>
  <si>
    <t>Rupees only )</t>
  </si>
  <si>
    <t>Insurance and Pension Fund</t>
  </si>
  <si>
    <t>Non-plan = N/ Plan = P</t>
  </si>
  <si>
    <t>Charged = C/ Voted = V</t>
  </si>
  <si>
    <r>
      <rPr>
        <b/>
        <sz val="11"/>
        <color indexed="8"/>
        <rFont val="Times New Roman"/>
        <family val="1"/>
      </rPr>
      <t>Sl.</t>
    </r>
    <r>
      <rPr>
        <b/>
        <sz val="11"/>
        <color indexed="8"/>
        <rFont val="Times New Roman"/>
        <family val="1"/>
      </rPr>
      <t xml:space="preserve"> </t>
    </r>
    <r>
      <rPr>
        <b/>
        <sz val="11"/>
        <color indexed="8"/>
        <rFont val="Times New Roman"/>
        <family val="1"/>
      </rPr>
      <t>No</t>
    </r>
  </si>
  <si>
    <r>
      <rPr>
        <b/>
        <sz val="11"/>
        <color indexed="8"/>
        <rFont val="Times New Roman"/>
        <family val="1"/>
      </rPr>
      <t>N</t>
    </r>
    <r>
      <rPr>
        <b/>
        <sz val="11"/>
        <color indexed="8"/>
        <rFont val="Times New Roman"/>
        <family val="1"/>
      </rPr>
      <t>a</t>
    </r>
    <r>
      <rPr>
        <b/>
        <sz val="11"/>
        <color indexed="8"/>
        <rFont val="Times New Roman"/>
        <family val="1"/>
      </rPr>
      <t>m</t>
    </r>
    <r>
      <rPr>
        <b/>
        <sz val="11"/>
        <color indexed="8"/>
        <rFont val="Times New Roman"/>
        <family val="1"/>
      </rPr>
      <t>e</t>
    </r>
    <r>
      <rPr>
        <b/>
        <sz val="11"/>
        <color indexed="8"/>
        <rFont val="Times New Roman"/>
        <family val="1"/>
      </rPr>
      <t xml:space="preserve"> </t>
    </r>
    <r>
      <rPr>
        <b/>
        <sz val="11"/>
        <color indexed="8"/>
        <rFont val="Times New Roman"/>
        <family val="1"/>
      </rPr>
      <t>&amp;</t>
    </r>
    <r>
      <rPr>
        <b/>
        <sz val="11"/>
        <color indexed="8"/>
        <rFont val="Times New Roman"/>
        <family val="1"/>
      </rPr>
      <t xml:space="preserve"> </t>
    </r>
    <r>
      <rPr>
        <b/>
        <sz val="11"/>
        <color indexed="8"/>
        <rFont val="Times New Roman"/>
        <family val="1"/>
      </rPr>
      <t>D</t>
    </r>
    <r>
      <rPr>
        <b/>
        <sz val="11"/>
        <color indexed="8"/>
        <rFont val="Times New Roman"/>
        <family val="1"/>
      </rPr>
      <t>e</t>
    </r>
    <r>
      <rPr>
        <b/>
        <sz val="11"/>
        <color indexed="8"/>
        <rFont val="Times New Roman"/>
        <family val="1"/>
      </rPr>
      <t>s</t>
    </r>
    <r>
      <rPr>
        <b/>
        <sz val="11"/>
        <color indexed="8"/>
        <rFont val="Times New Roman"/>
        <family val="1"/>
      </rPr>
      <t>i</t>
    </r>
    <r>
      <rPr>
        <b/>
        <sz val="11"/>
        <color indexed="8"/>
        <rFont val="Times New Roman"/>
        <family val="1"/>
      </rPr>
      <t>g</t>
    </r>
    <r>
      <rPr>
        <b/>
        <sz val="11"/>
        <color indexed="8"/>
        <rFont val="Times New Roman"/>
        <family val="1"/>
      </rPr>
      <t>n</t>
    </r>
    <r>
      <rPr>
        <b/>
        <sz val="11"/>
        <color indexed="8"/>
        <rFont val="Times New Roman"/>
        <family val="1"/>
      </rPr>
      <t>a</t>
    </r>
    <r>
      <rPr>
        <b/>
        <sz val="11"/>
        <color indexed="8"/>
        <rFont val="Times New Roman"/>
        <family val="1"/>
      </rPr>
      <t>t</t>
    </r>
    <r>
      <rPr>
        <b/>
        <sz val="11"/>
        <color indexed="8"/>
        <rFont val="Times New Roman"/>
        <family val="1"/>
      </rPr>
      <t>i</t>
    </r>
    <r>
      <rPr>
        <b/>
        <sz val="11"/>
        <color indexed="8"/>
        <rFont val="Times New Roman"/>
        <family val="1"/>
      </rPr>
      <t>o</t>
    </r>
    <r>
      <rPr>
        <b/>
        <sz val="11"/>
        <color indexed="8"/>
        <rFont val="Times New Roman"/>
        <family val="1"/>
      </rPr>
      <t xml:space="preserve">n
</t>
    </r>
    <r>
      <rPr>
        <b/>
        <sz val="11"/>
        <color indexed="8"/>
        <rFont val="Times New Roman"/>
        <family val="1"/>
      </rPr>
      <t>/</t>
    </r>
    <r>
      <rPr>
        <b/>
        <sz val="11"/>
        <color indexed="8"/>
        <rFont val="Times New Roman"/>
        <family val="1"/>
      </rPr>
      <t xml:space="preserve"> </t>
    </r>
    <r>
      <rPr>
        <b/>
        <sz val="11"/>
        <color indexed="8"/>
        <rFont val="Times New Roman"/>
        <family val="1"/>
      </rPr>
      <t>Su</t>
    </r>
    <r>
      <rPr>
        <b/>
        <sz val="11"/>
        <color indexed="8"/>
        <rFont val="Times New Roman"/>
        <family val="1"/>
      </rPr>
      <t>b</t>
    </r>
    <r>
      <rPr>
        <b/>
        <sz val="11"/>
        <color indexed="8"/>
        <rFont val="Times New Roman"/>
        <family val="1"/>
      </rPr>
      <t>s</t>
    </r>
    <r>
      <rPr>
        <b/>
        <sz val="11"/>
        <color indexed="8"/>
        <rFont val="Times New Roman"/>
        <family val="1"/>
      </rPr>
      <t>c</t>
    </r>
    <r>
      <rPr>
        <b/>
        <sz val="11"/>
        <color indexed="8"/>
        <rFont val="Times New Roman"/>
        <family val="1"/>
      </rPr>
      <t>r</t>
    </r>
    <r>
      <rPr>
        <b/>
        <sz val="11"/>
        <color indexed="8"/>
        <rFont val="Times New Roman"/>
        <family val="1"/>
      </rPr>
      <t>ib</t>
    </r>
    <r>
      <rPr>
        <b/>
        <sz val="11"/>
        <color indexed="8"/>
        <rFont val="Times New Roman"/>
        <family val="1"/>
      </rPr>
      <t>e</t>
    </r>
    <r>
      <rPr>
        <b/>
        <sz val="11"/>
        <color indexed="8"/>
        <rFont val="Times New Roman"/>
        <family val="1"/>
      </rPr>
      <t>r</t>
    </r>
    <r>
      <rPr>
        <b/>
        <sz val="11"/>
        <color indexed="8"/>
        <rFont val="Times New Roman"/>
        <family val="1"/>
      </rPr>
      <t xml:space="preserve"> </t>
    </r>
    <r>
      <rPr>
        <b/>
        <sz val="11"/>
        <color indexed="8"/>
        <rFont val="Times New Roman"/>
        <family val="1"/>
      </rPr>
      <t>/</t>
    </r>
    <r>
      <rPr>
        <b/>
        <sz val="11"/>
        <color indexed="8"/>
        <rFont val="Times New Roman"/>
        <family val="1"/>
      </rPr>
      <t xml:space="preserve"> </t>
    </r>
    <r>
      <rPr>
        <b/>
        <sz val="11"/>
        <color indexed="8"/>
        <rFont val="Times New Roman"/>
        <family val="1"/>
      </rPr>
      <t>E</t>
    </r>
    <r>
      <rPr>
        <b/>
        <sz val="11"/>
        <color indexed="8"/>
        <rFont val="Times New Roman"/>
        <family val="1"/>
      </rPr>
      <t>mpl</t>
    </r>
    <r>
      <rPr>
        <b/>
        <sz val="11"/>
        <color indexed="8"/>
        <rFont val="Times New Roman"/>
        <family val="1"/>
      </rPr>
      <t>o</t>
    </r>
    <r>
      <rPr>
        <b/>
        <sz val="11"/>
        <color indexed="8"/>
        <rFont val="Times New Roman"/>
        <family val="1"/>
      </rPr>
      <t>y</t>
    </r>
    <r>
      <rPr>
        <b/>
        <sz val="11"/>
        <color indexed="8"/>
        <rFont val="Times New Roman"/>
        <family val="1"/>
      </rPr>
      <t>e</t>
    </r>
    <r>
      <rPr>
        <b/>
        <sz val="11"/>
        <color indexed="8"/>
        <rFont val="Times New Roman"/>
        <family val="1"/>
      </rPr>
      <t>e</t>
    </r>
    <r>
      <rPr>
        <b/>
        <sz val="11"/>
        <color indexed="8"/>
        <rFont val="Times New Roman"/>
        <family val="1"/>
      </rPr>
      <t xml:space="preserve"> </t>
    </r>
    <r>
      <rPr>
        <b/>
        <sz val="11"/>
        <color indexed="8"/>
        <rFont val="Times New Roman"/>
        <family val="1"/>
      </rPr>
      <t>o</t>
    </r>
    <r>
      <rPr>
        <b/>
        <sz val="11"/>
        <color indexed="8"/>
        <rFont val="Times New Roman"/>
        <family val="1"/>
      </rPr>
      <t>r</t>
    </r>
    <r>
      <rPr>
        <b/>
        <sz val="11"/>
        <color indexed="8"/>
        <rFont val="Times New Roman"/>
        <family val="1"/>
      </rPr>
      <t xml:space="preserve"> </t>
    </r>
    <r>
      <rPr>
        <b/>
        <sz val="11"/>
        <color indexed="8"/>
        <rFont val="Times New Roman"/>
        <family val="1"/>
      </rPr>
      <t>n</t>
    </r>
    <r>
      <rPr>
        <b/>
        <sz val="11"/>
        <color indexed="8"/>
        <rFont val="Times New Roman"/>
        <family val="1"/>
      </rPr>
      <t>o</t>
    </r>
    <r>
      <rPr>
        <b/>
        <sz val="11"/>
        <color indexed="8"/>
        <rFont val="Times New Roman"/>
        <family val="1"/>
      </rPr>
      <t>min</t>
    </r>
    <r>
      <rPr>
        <b/>
        <sz val="11"/>
        <color indexed="8"/>
        <rFont val="Times New Roman"/>
        <family val="1"/>
      </rPr>
      <t>e</t>
    </r>
    <r>
      <rPr>
        <b/>
        <sz val="11"/>
        <color indexed="8"/>
        <rFont val="Times New Roman"/>
        <family val="1"/>
      </rPr>
      <t>e</t>
    </r>
  </si>
  <si>
    <r>
      <rPr>
        <b/>
        <sz val="11"/>
        <color indexed="8"/>
        <rFont val="Times New Roman"/>
        <family val="1"/>
      </rPr>
      <t>P</t>
    </r>
    <r>
      <rPr>
        <b/>
        <sz val="11"/>
        <color indexed="8"/>
        <rFont val="Times New Roman"/>
        <family val="1"/>
      </rPr>
      <t>a</t>
    </r>
    <r>
      <rPr>
        <b/>
        <sz val="11"/>
        <color indexed="8"/>
        <rFont val="Times New Roman"/>
        <family val="1"/>
      </rPr>
      <t xml:space="preserve">y
</t>
    </r>
    <r>
      <rPr>
        <b/>
        <sz val="11"/>
        <color indexed="8"/>
        <rFont val="Times New Roman"/>
        <family val="1"/>
      </rPr>
      <t>i</t>
    </r>
    <r>
      <rPr>
        <b/>
        <sz val="11"/>
        <color indexed="8"/>
        <rFont val="Times New Roman"/>
        <family val="1"/>
      </rPr>
      <t>n</t>
    </r>
    <r>
      <rPr>
        <b/>
        <sz val="11"/>
        <color indexed="8"/>
        <rFont val="Times New Roman"/>
        <family val="1"/>
      </rPr>
      <t xml:space="preserve"> </t>
    </r>
    <r>
      <rPr>
        <b/>
        <sz val="11"/>
        <color indexed="8"/>
        <rFont val="Times New Roman"/>
        <family val="1"/>
      </rPr>
      <t xml:space="preserve"> </t>
    </r>
    <r>
      <rPr>
        <b/>
        <sz val="11"/>
        <color indexed="8"/>
        <rFont val="Times New Roman"/>
        <family val="1"/>
      </rPr>
      <t>R</t>
    </r>
    <r>
      <rPr>
        <b/>
        <sz val="11"/>
        <color indexed="8"/>
        <rFont val="Times New Roman"/>
        <family val="1"/>
      </rPr>
      <t>s</t>
    </r>
    <r>
      <rPr>
        <b/>
        <sz val="11"/>
        <color indexed="8"/>
        <rFont val="Times New Roman"/>
        <family val="1"/>
      </rPr>
      <t>.</t>
    </r>
  </si>
  <si>
    <r>
      <rPr>
        <b/>
        <sz val="11"/>
        <color indexed="8"/>
        <rFont val="Times New Roman"/>
        <family val="1"/>
      </rPr>
      <t>A</t>
    </r>
    <r>
      <rPr>
        <b/>
        <sz val="11"/>
        <color indexed="8"/>
        <rFont val="Times New Roman"/>
        <family val="1"/>
      </rPr>
      <t>c</t>
    </r>
    <r>
      <rPr>
        <b/>
        <sz val="11"/>
        <color indexed="8"/>
        <rFont val="Times New Roman"/>
        <family val="1"/>
      </rPr>
      <t>c</t>
    </r>
    <r>
      <rPr>
        <b/>
        <sz val="11"/>
        <color indexed="8"/>
        <rFont val="Times New Roman"/>
        <family val="1"/>
      </rPr>
      <t>o</t>
    </r>
    <r>
      <rPr>
        <b/>
        <sz val="11"/>
        <color indexed="8"/>
        <rFont val="Times New Roman"/>
        <family val="1"/>
      </rPr>
      <t>u</t>
    </r>
    <r>
      <rPr>
        <b/>
        <sz val="11"/>
        <color indexed="8"/>
        <rFont val="Times New Roman"/>
        <family val="1"/>
      </rPr>
      <t>n</t>
    </r>
    <r>
      <rPr>
        <b/>
        <sz val="11"/>
        <color indexed="8"/>
        <rFont val="Times New Roman"/>
        <family val="1"/>
      </rPr>
      <t xml:space="preserve">t
</t>
    </r>
    <r>
      <rPr>
        <b/>
        <sz val="11"/>
        <color indexed="8"/>
        <rFont val="Times New Roman"/>
        <family val="1"/>
      </rPr>
      <t>No</t>
    </r>
  </si>
  <si>
    <r>
      <rPr>
        <b/>
        <sz val="11"/>
        <color indexed="8"/>
        <rFont val="Times New Roman"/>
        <family val="1"/>
      </rPr>
      <t>No</t>
    </r>
    <r>
      <rPr>
        <b/>
        <sz val="11"/>
        <color indexed="8"/>
        <rFont val="Times New Roman"/>
        <family val="1"/>
      </rPr>
      <t xml:space="preserve"> </t>
    </r>
    <r>
      <rPr>
        <b/>
        <sz val="11"/>
        <color indexed="8"/>
        <rFont val="Times New Roman"/>
        <family val="1"/>
      </rPr>
      <t>&amp;</t>
    </r>
    <r>
      <rPr>
        <b/>
        <sz val="11"/>
        <color indexed="8"/>
        <rFont val="Times New Roman"/>
        <family val="1"/>
      </rPr>
      <t xml:space="preserve"> </t>
    </r>
    <r>
      <rPr>
        <b/>
        <sz val="11"/>
        <color indexed="8"/>
        <rFont val="Times New Roman"/>
        <family val="1"/>
      </rPr>
      <t>D</t>
    </r>
    <r>
      <rPr>
        <b/>
        <sz val="11"/>
        <color indexed="8"/>
        <rFont val="Times New Roman"/>
        <family val="1"/>
      </rPr>
      <t>a</t>
    </r>
    <r>
      <rPr>
        <b/>
        <sz val="11"/>
        <color indexed="8"/>
        <rFont val="Times New Roman"/>
        <family val="1"/>
      </rPr>
      <t>t</t>
    </r>
    <r>
      <rPr>
        <b/>
        <sz val="11"/>
        <color indexed="8"/>
        <rFont val="Times New Roman"/>
        <family val="1"/>
      </rPr>
      <t>e</t>
    </r>
    <r>
      <rPr>
        <b/>
        <sz val="11"/>
        <color indexed="8"/>
        <rFont val="Times New Roman"/>
        <family val="1"/>
      </rPr>
      <t xml:space="preserve"> </t>
    </r>
    <r>
      <rPr>
        <b/>
        <sz val="11"/>
        <color indexed="8"/>
        <rFont val="Times New Roman"/>
        <family val="1"/>
      </rPr>
      <t>o</t>
    </r>
    <r>
      <rPr>
        <b/>
        <sz val="11"/>
        <color indexed="8"/>
        <rFont val="Times New Roman"/>
        <family val="1"/>
      </rPr>
      <t>f</t>
    </r>
    <r>
      <rPr>
        <b/>
        <sz val="11"/>
        <color indexed="8"/>
        <rFont val="Times New Roman"/>
        <family val="1"/>
      </rPr>
      <t xml:space="preserve"> </t>
    </r>
    <r>
      <rPr>
        <b/>
        <sz val="11"/>
        <color indexed="8"/>
        <rFont val="Times New Roman"/>
        <family val="1"/>
      </rPr>
      <t>s</t>
    </r>
    <r>
      <rPr>
        <b/>
        <sz val="11"/>
        <color indexed="8"/>
        <rFont val="Times New Roman"/>
        <family val="1"/>
      </rPr>
      <t>a</t>
    </r>
    <r>
      <rPr>
        <b/>
        <sz val="11"/>
        <color indexed="8"/>
        <rFont val="Times New Roman"/>
        <family val="1"/>
      </rPr>
      <t>n</t>
    </r>
    <r>
      <rPr>
        <b/>
        <sz val="11"/>
        <color indexed="8"/>
        <rFont val="Times New Roman"/>
        <family val="1"/>
      </rPr>
      <t>c</t>
    </r>
    <r>
      <rPr>
        <b/>
        <sz val="11"/>
        <color indexed="8"/>
        <rFont val="Times New Roman"/>
        <family val="1"/>
      </rPr>
      <t>t</t>
    </r>
    <r>
      <rPr>
        <b/>
        <sz val="11"/>
        <color indexed="8"/>
        <rFont val="Times New Roman"/>
        <family val="1"/>
      </rPr>
      <t>i</t>
    </r>
    <r>
      <rPr>
        <b/>
        <sz val="11"/>
        <color indexed="8"/>
        <rFont val="Times New Roman"/>
        <family val="1"/>
      </rPr>
      <t>o</t>
    </r>
    <r>
      <rPr>
        <b/>
        <sz val="11"/>
        <color indexed="8"/>
        <rFont val="Times New Roman"/>
        <family val="1"/>
      </rPr>
      <t>n</t>
    </r>
    <r>
      <rPr>
        <b/>
        <sz val="11"/>
        <color indexed="8"/>
        <rFont val="Times New Roman"/>
        <family val="1"/>
      </rPr>
      <t xml:space="preserve"> </t>
    </r>
    <r>
      <rPr>
        <b/>
        <sz val="11"/>
        <color indexed="8"/>
        <rFont val="Times New Roman"/>
        <family val="1"/>
      </rPr>
      <t>o</t>
    </r>
    <r>
      <rPr>
        <b/>
        <sz val="11"/>
        <color indexed="8"/>
        <rFont val="Times New Roman"/>
        <family val="1"/>
      </rPr>
      <t>f</t>
    </r>
    <r>
      <rPr>
        <b/>
        <sz val="11"/>
        <color indexed="8"/>
        <rFont val="Times New Roman"/>
        <family val="1"/>
      </rPr>
      <t xml:space="preserve"> </t>
    </r>
    <r>
      <rPr>
        <b/>
        <sz val="11"/>
        <color indexed="8"/>
        <rFont val="Times New Roman"/>
        <family val="1"/>
      </rPr>
      <t>t</t>
    </r>
    <r>
      <rPr>
        <b/>
        <sz val="11"/>
        <color indexed="8"/>
        <rFont val="Times New Roman"/>
        <family val="1"/>
      </rPr>
      <t>he</t>
    </r>
    <r>
      <rPr>
        <b/>
        <sz val="11"/>
        <color indexed="8"/>
        <rFont val="Times New Roman"/>
        <family val="1"/>
      </rPr>
      <t xml:space="preserve"> </t>
    </r>
    <r>
      <rPr>
        <b/>
        <sz val="11"/>
        <color indexed="8"/>
        <rFont val="Times New Roman"/>
        <family val="1"/>
      </rPr>
      <t>p</t>
    </r>
    <r>
      <rPr>
        <b/>
        <sz val="11"/>
        <color indexed="8"/>
        <rFont val="Times New Roman"/>
        <family val="1"/>
      </rPr>
      <t>r</t>
    </r>
    <r>
      <rPr>
        <b/>
        <sz val="11"/>
        <color indexed="8"/>
        <rFont val="Times New Roman"/>
        <family val="1"/>
      </rPr>
      <t>o</t>
    </r>
    <r>
      <rPr>
        <b/>
        <sz val="11"/>
        <color indexed="8"/>
        <rFont val="Times New Roman"/>
        <family val="1"/>
      </rPr>
      <t>c</t>
    </r>
    <r>
      <rPr>
        <b/>
        <sz val="11"/>
        <color indexed="8"/>
        <rFont val="Times New Roman"/>
        <family val="1"/>
      </rPr>
      <t>e</t>
    </r>
    <r>
      <rPr>
        <b/>
        <sz val="11"/>
        <color indexed="8"/>
        <rFont val="Times New Roman"/>
        <family val="1"/>
      </rPr>
      <t>e</t>
    </r>
    <r>
      <rPr>
        <b/>
        <sz val="11"/>
        <color indexed="8"/>
        <rFont val="Times New Roman"/>
        <family val="1"/>
      </rPr>
      <t>d</t>
    </r>
    <r>
      <rPr>
        <b/>
        <sz val="11"/>
        <color indexed="8"/>
        <rFont val="Times New Roman"/>
        <family val="1"/>
      </rPr>
      <t>i</t>
    </r>
    <r>
      <rPr>
        <b/>
        <sz val="11"/>
        <color indexed="8"/>
        <rFont val="Times New Roman"/>
        <family val="1"/>
      </rPr>
      <t>n</t>
    </r>
    <r>
      <rPr>
        <b/>
        <sz val="11"/>
        <color indexed="8"/>
        <rFont val="Times New Roman"/>
        <family val="1"/>
      </rPr>
      <t>g</t>
    </r>
    <r>
      <rPr>
        <b/>
        <sz val="11"/>
        <color indexed="8"/>
        <rFont val="Times New Roman"/>
        <family val="1"/>
      </rPr>
      <t>s</t>
    </r>
  </si>
  <si>
    <r>
      <rPr>
        <b/>
        <sz val="11"/>
        <color indexed="8"/>
        <rFont val="Times New Roman"/>
        <family val="1"/>
      </rPr>
      <t>N</t>
    </r>
    <r>
      <rPr>
        <b/>
        <sz val="11"/>
        <color indexed="8"/>
        <rFont val="Times New Roman"/>
        <family val="1"/>
      </rPr>
      <t>a</t>
    </r>
    <r>
      <rPr>
        <b/>
        <sz val="11"/>
        <color indexed="8"/>
        <rFont val="Times New Roman"/>
        <family val="1"/>
      </rPr>
      <t>t</t>
    </r>
    <r>
      <rPr>
        <b/>
        <sz val="11"/>
        <color indexed="8"/>
        <rFont val="Times New Roman"/>
        <family val="1"/>
      </rPr>
      <t>u</t>
    </r>
    <r>
      <rPr>
        <b/>
        <sz val="11"/>
        <color indexed="8"/>
        <rFont val="Times New Roman"/>
        <family val="1"/>
      </rPr>
      <t>r</t>
    </r>
    <r>
      <rPr>
        <b/>
        <sz val="11"/>
        <color indexed="8"/>
        <rFont val="Times New Roman"/>
        <family val="1"/>
      </rPr>
      <t>e</t>
    </r>
    <r>
      <rPr>
        <b/>
        <sz val="11"/>
        <color indexed="8"/>
        <rFont val="Times New Roman"/>
        <family val="1"/>
      </rPr>
      <t xml:space="preserve"> </t>
    </r>
    <r>
      <rPr>
        <b/>
        <sz val="11"/>
        <color indexed="8"/>
        <rFont val="Times New Roman"/>
        <family val="1"/>
      </rPr>
      <t>&amp;</t>
    </r>
    <r>
      <rPr>
        <b/>
        <sz val="11"/>
        <color indexed="8"/>
        <rFont val="Times New Roman"/>
        <family val="1"/>
      </rPr>
      <t xml:space="preserve"> </t>
    </r>
    <r>
      <rPr>
        <b/>
        <sz val="11"/>
        <color indexed="8"/>
        <rFont val="Times New Roman"/>
        <family val="1"/>
      </rPr>
      <t>Am</t>
    </r>
    <r>
      <rPr>
        <b/>
        <sz val="11"/>
        <color indexed="8"/>
        <rFont val="Times New Roman"/>
        <family val="1"/>
      </rPr>
      <t>o</t>
    </r>
    <r>
      <rPr>
        <b/>
        <sz val="11"/>
        <color indexed="8"/>
        <rFont val="Times New Roman"/>
        <family val="1"/>
      </rPr>
      <t>u</t>
    </r>
    <r>
      <rPr>
        <b/>
        <sz val="11"/>
        <color indexed="8"/>
        <rFont val="Times New Roman"/>
        <family val="1"/>
      </rPr>
      <t>n</t>
    </r>
    <r>
      <rPr>
        <b/>
        <sz val="11"/>
        <color indexed="8"/>
        <rFont val="Times New Roman"/>
        <family val="1"/>
      </rPr>
      <t>t</t>
    </r>
    <r>
      <rPr>
        <b/>
        <sz val="11"/>
        <color indexed="8"/>
        <rFont val="Times New Roman"/>
        <family val="1"/>
      </rPr>
      <t xml:space="preserve"> </t>
    </r>
    <r>
      <rPr>
        <b/>
        <sz val="11"/>
        <color indexed="8"/>
        <rFont val="Times New Roman"/>
        <family val="1"/>
      </rPr>
      <t>o</t>
    </r>
    <r>
      <rPr>
        <b/>
        <sz val="11"/>
        <color indexed="8"/>
        <rFont val="Times New Roman"/>
        <family val="1"/>
      </rPr>
      <t xml:space="preserve">f
</t>
    </r>
    <r>
      <rPr>
        <b/>
        <sz val="11"/>
        <color indexed="8"/>
        <rFont val="Times New Roman"/>
        <family val="1"/>
      </rPr>
      <t>W</t>
    </r>
    <r>
      <rPr>
        <b/>
        <sz val="11"/>
        <color indexed="8"/>
        <rFont val="Times New Roman"/>
        <family val="1"/>
      </rPr>
      <t>i</t>
    </r>
    <r>
      <rPr>
        <b/>
        <sz val="11"/>
        <color indexed="8"/>
        <rFont val="Times New Roman"/>
        <family val="1"/>
      </rPr>
      <t>t</t>
    </r>
    <r>
      <rPr>
        <b/>
        <sz val="11"/>
        <color indexed="8"/>
        <rFont val="Times New Roman"/>
        <family val="1"/>
      </rPr>
      <t>h</t>
    </r>
    <r>
      <rPr>
        <b/>
        <sz val="11"/>
        <color indexed="8"/>
        <rFont val="Times New Roman"/>
        <family val="1"/>
      </rPr>
      <t>d</t>
    </r>
    <r>
      <rPr>
        <b/>
        <sz val="11"/>
        <color indexed="8"/>
        <rFont val="Times New Roman"/>
        <family val="1"/>
      </rPr>
      <t>r</t>
    </r>
    <r>
      <rPr>
        <b/>
        <sz val="11"/>
        <color indexed="8"/>
        <rFont val="Times New Roman"/>
        <family val="1"/>
      </rPr>
      <t>a</t>
    </r>
    <r>
      <rPr>
        <b/>
        <sz val="11"/>
        <color indexed="8"/>
        <rFont val="Times New Roman"/>
        <family val="1"/>
      </rPr>
      <t>w</t>
    </r>
    <r>
      <rPr>
        <b/>
        <sz val="11"/>
        <color indexed="8"/>
        <rFont val="Times New Roman"/>
        <family val="1"/>
      </rPr>
      <t>a</t>
    </r>
    <r>
      <rPr>
        <b/>
        <sz val="11"/>
        <color indexed="8"/>
        <rFont val="Times New Roman"/>
        <family val="1"/>
      </rPr>
      <t>l</t>
    </r>
  </si>
  <si>
    <r>
      <rPr>
        <b/>
        <sz val="11"/>
        <color indexed="8"/>
        <rFont val="Times New Roman"/>
        <family val="1"/>
      </rPr>
      <t>Ad</t>
    </r>
    <r>
      <rPr>
        <b/>
        <sz val="11"/>
        <color indexed="8"/>
        <rFont val="Times New Roman"/>
        <family val="1"/>
      </rPr>
      <t>v</t>
    </r>
    <r>
      <rPr>
        <b/>
        <sz val="11"/>
        <color indexed="8"/>
        <rFont val="Times New Roman"/>
        <family val="1"/>
      </rPr>
      <t>a</t>
    </r>
    <r>
      <rPr>
        <b/>
        <sz val="11"/>
        <color indexed="8"/>
        <rFont val="Times New Roman"/>
        <family val="1"/>
      </rPr>
      <t>n</t>
    </r>
    <r>
      <rPr>
        <b/>
        <sz val="11"/>
        <color indexed="8"/>
        <rFont val="Times New Roman"/>
        <family val="1"/>
      </rPr>
      <t>c</t>
    </r>
    <r>
      <rPr>
        <b/>
        <sz val="11"/>
        <color indexed="8"/>
        <rFont val="Times New Roman"/>
        <family val="1"/>
      </rPr>
      <t>e</t>
    </r>
    <r>
      <rPr>
        <b/>
        <sz val="11"/>
        <color indexed="8"/>
        <rFont val="Times New Roman"/>
        <family val="1"/>
      </rPr>
      <t xml:space="preserve"> </t>
    </r>
    <r>
      <rPr>
        <b/>
        <sz val="11"/>
        <color indexed="8"/>
        <rFont val="Times New Roman"/>
        <family val="1"/>
      </rPr>
      <t>in</t>
    </r>
    <r>
      <rPr>
        <b/>
        <sz val="11"/>
        <color indexed="8"/>
        <rFont val="Times New Roman"/>
        <family val="1"/>
      </rPr>
      <t xml:space="preserve"> </t>
    </r>
    <r>
      <rPr>
        <b/>
        <sz val="11"/>
        <color indexed="8"/>
        <rFont val="Times New Roman"/>
        <family val="1"/>
      </rPr>
      <t>R</t>
    </r>
    <r>
      <rPr>
        <b/>
        <sz val="11"/>
        <color indexed="8"/>
        <rFont val="Times New Roman"/>
        <family val="1"/>
      </rPr>
      <t>s</t>
    </r>
  </si>
  <si>
    <t>(1)</t>
  </si>
  <si>
    <t>(2)</t>
  </si>
  <si>
    <t>(3)</t>
  </si>
  <si>
    <t>(4)</t>
  </si>
  <si>
    <t>(5)</t>
  </si>
  <si>
    <t>(6)</t>
  </si>
  <si>
    <t>(7)</t>
  </si>
  <si>
    <t>(8)</t>
  </si>
  <si>
    <t>Pay Bill Amount Rs.</t>
  </si>
  <si>
    <t>Account Credit/ Draft.</t>
  </si>
  <si>
    <t>By Cash / Adjustment / Cheque /</t>
  </si>
  <si>
    <t>____________________________ Only) by Cash / Cheque / Draft / Account Credit / Adjustment.</t>
  </si>
  <si>
    <t>Note: Original sanction order should be enclosed</t>
  </si>
  <si>
    <t>Designation of the Sanction Authority</t>
  </si>
  <si>
    <t xml:space="preserve">1. Allotment of Budget for the year ___________________ Rs________________ </t>
  </si>
  <si>
    <t>2. Incurred expenditure inclusive of this Bill _____________   Rs ________________</t>
  </si>
  <si>
    <t xml:space="preserve">3. Balance          Rs. _______________  </t>
  </si>
  <si>
    <t xml:space="preserve">         Drawing Officer </t>
  </si>
  <si>
    <t xml:space="preserve">APTC FORM - 40 </t>
  </si>
  <si>
    <t xml:space="preserve">BILL   FOR   WITHDRAWAL   FROM   GPF /GIS/FBF / EWF / LOANS   AND   ADVANCES </t>
  </si>
  <si>
    <t>ACS with Interest upto 31-10-1994</t>
  </si>
  <si>
    <t>No of Units</t>
  </si>
  <si>
    <t>=</t>
  </si>
  <si>
    <t>Amont (RS.)</t>
  </si>
  <si>
    <t>Int Rate</t>
  </si>
  <si>
    <t>III</t>
  </si>
  <si>
    <t>No of months</t>
  </si>
  <si>
    <t>Rate of Int</t>
  </si>
  <si>
    <t>Int.</t>
  </si>
  <si>
    <r>
      <rPr>
        <sz val="12"/>
        <color indexed="8"/>
        <rFont val="Times New Roman"/>
        <family val="1"/>
      </rPr>
      <t>No.</t>
    </r>
    <r>
      <rPr>
        <sz val="12"/>
        <color indexed="8"/>
        <rFont val="Times New Roman"/>
        <family val="1"/>
      </rPr>
      <t xml:space="preserve"> </t>
    </r>
    <r>
      <rPr>
        <sz val="12"/>
        <color indexed="8"/>
        <rFont val="Times New Roman"/>
        <family val="1"/>
      </rPr>
      <t>of</t>
    </r>
    <r>
      <rPr>
        <sz val="12"/>
        <color indexed="8"/>
        <rFont val="Times New Roman"/>
        <family val="1"/>
      </rPr>
      <t xml:space="preserve"> </t>
    </r>
    <r>
      <rPr>
        <sz val="12"/>
        <color indexed="8"/>
        <rFont val="Times New Roman"/>
        <family val="1"/>
      </rPr>
      <t>completed</t>
    </r>
    <r>
      <rPr>
        <sz val="12"/>
        <color indexed="8"/>
        <rFont val="Times New Roman"/>
        <family val="1"/>
      </rPr>
      <t xml:space="preserve"> </t>
    </r>
    <r>
      <rPr>
        <sz val="12"/>
        <color indexed="8"/>
        <rFont val="Times New Roman"/>
        <family val="1"/>
      </rPr>
      <t>y</t>
    </r>
    <r>
      <rPr>
        <sz val="12"/>
        <color indexed="8"/>
        <rFont val="Times New Roman"/>
        <family val="1"/>
      </rPr>
      <t>e</t>
    </r>
    <r>
      <rPr>
        <sz val="12"/>
        <color indexed="8"/>
        <rFont val="Times New Roman"/>
        <family val="1"/>
      </rPr>
      <t>ars</t>
    </r>
    <r>
      <rPr>
        <sz val="12"/>
        <color indexed="8"/>
        <rFont val="Times New Roman"/>
        <family val="1"/>
      </rPr>
      <t xml:space="preserve"> </t>
    </r>
    <r>
      <rPr>
        <sz val="12"/>
        <color indexed="8"/>
        <rFont val="Times New Roman"/>
        <family val="1"/>
      </rPr>
      <t>f</t>
    </r>
    <r>
      <rPr>
        <sz val="12"/>
        <color indexed="8"/>
        <rFont val="Times New Roman"/>
        <family val="1"/>
      </rPr>
      <t>r</t>
    </r>
    <r>
      <rPr>
        <sz val="12"/>
        <color indexed="8"/>
        <rFont val="Times New Roman"/>
        <family val="1"/>
      </rPr>
      <t>om</t>
    </r>
    <r>
      <rPr>
        <sz val="12"/>
        <color indexed="8"/>
        <rFont val="Times New Roman"/>
        <family val="1"/>
      </rPr>
      <t xml:space="preserve"> </t>
    </r>
    <r>
      <rPr>
        <sz val="12"/>
        <color indexed="8"/>
        <rFont val="Times New Roman"/>
        <family val="1"/>
      </rPr>
      <t>the</t>
    </r>
    <r>
      <rPr>
        <sz val="12"/>
        <color indexed="8"/>
        <rFont val="Times New Roman"/>
        <family val="1"/>
      </rPr>
      <t xml:space="preserve"> </t>
    </r>
    <r>
      <rPr>
        <sz val="12"/>
        <color indexed="8"/>
        <rFont val="Times New Roman"/>
        <family val="1"/>
      </rPr>
      <t>d</t>
    </r>
    <r>
      <rPr>
        <sz val="12"/>
        <color indexed="8"/>
        <rFont val="Times New Roman"/>
        <family val="1"/>
      </rPr>
      <t>a</t>
    </r>
    <r>
      <rPr>
        <sz val="12"/>
        <color indexed="8"/>
        <rFont val="Times New Roman"/>
        <family val="1"/>
      </rPr>
      <t>te</t>
    </r>
    <r>
      <rPr>
        <sz val="12"/>
        <color indexed="8"/>
        <rFont val="Times New Roman"/>
        <family val="1"/>
      </rPr>
      <t xml:space="preserve"> </t>
    </r>
    <r>
      <rPr>
        <sz val="12"/>
        <color indexed="8"/>
        <rFont val="Times New Roman"/>
        <family val="1"/>
      </rPr>
      <t>of</t>
    </r>
    <r>
      <rPr>
        <sz val="12"/>
        <color indexed="8"/>
        <rFont val="Times New Roman"/>
        <family val="1"/>
      </rPr>
      <t xml:space="preserve"> </t>
    </r>
    <r>
      <rPr>
        <sz val="12"/>
        <color indexed="8"/>
        <rFont val="Times New Roman"/>
        <family val="1"/>
      </rPr>
      <t>e</t>
    </r>
    <r>
      <rPr>
        <sz val="12"/>
        <color indexed="8"/>
        <rFont val="Times New Roman"/>
        <family val="1"/>
      </rPr>
      <t>nt</t>
    </r>
    <r>
      <rPr>
        <sz val="12"/>
        <color indexed="8"/>
        <rFont val="Times New Roman"/>
        <family val="1"/>
      </rPr>
      <t>r</t>
    </r>
    <r>
      <rPr>
        <sz val="12"/>
        <color indexed="8"/>
        <rFont val="Times New Roman"/>
        <family val="1"/>
      </rPr>
      <t>y</t>
    </r>
    <r>
      <rPr>
        <sz val="12"/>
        <color indexed="8"/>
        <rFont val="Times New Roman"/>
        <family val="1"/>
      </rPr>
      <t xml:space="preserve"> </t>
    </r>
    <r>
      <rPr>
        <sz val="12"/>
        <color indexed="8"/>
        <rFont val="Times New Roman"/>
        <family val="1"/>
      </rPr>
      <t xml:space="preserve">into
</t>
    </r>
    <r>
      <rPr>
        <sz val="12"/>
        <color indexed="8"/>
        <rFont val="Times New Roman"/>
        <family val="1"/>
      </rPr>
      <t>the</t>
    </r>
    <r>
      <rPr>
        <sz val="12"/>
        <color indexed="8"/>
        <rFont val="Times New Roman"/>
        <family val="1"/>
      </rPr>
      <t xml:space="preserve"> </t>
    </r>
    <r>
      <rPr>
        <sz val="12"/>
        <color indexed="8"/>
        <rFont val="Times New Roman"/>
        <family val="1"/>
      </rPr>
      <t>scheme</t>
    </r>
    <r>
      <rPr>
        <sz val="12"/>
        <color indexed="8"/>
        <rFont val="Times New Roman"/>
        <family val="1"/>
      </rPr>
      <t xml:space="preserve"> </t>
    </r>
    <r>
      <rPr>
        <sz val="12"/>
        <color indexed="8"/>
        <rFont val="Times New Roman"/>
        <family val="1"/>
      </rPr>
      <t>to</t>
    </r>
    <r>
      <rPr>
        <sz val="12"/>
        <color indexed="8"/>
        <rFont val="Times New Roman"/>
        <family val="1"/>
      </rPr>
      <t xml:space="preserve"> </t>
    </r>
    <r>
      <rPr>
        <sz val="12"/>
        <color indexed="8"/>
        <rFont val="Times New Roman"/>
        <family val="1"/>
      </rPr>
      <t>the</t>
    </r>
    <r>
      <rPr>
        <sz val="12"/>
        <color indexed="8"/>
        <rFont val="Times New Roman"/>
        <family val="1"/>
      </rPr>
      <t xml:space="preserve"> </t>
    </r>
    <r>
      <rPr>
        <sz val="12"/>
        <color indexed="8"/>
        <rFont val="Times New Roman"/>
        <family val="1"/>
      </rPr>
      <t>da</t>
    </r>
    <r>
      <rPr>
        <sz val="12"/>
        <color indexed="8"/>
        <rFont val="Times New Roman"/>
        <family val="1"/>
      </rPr>
      <t>t</t>
    </r>
    <r>
      <rPr>
        <sz val="12"/>
        <color indexed="8"/>
        <rFont val="Times New Roman"/>
        <family val="1"/>
      </rPr>
      <t>e</t>
    </r>
    <r>
      <rPr>
        <sz val="12"/>
        <color indexed="8"/>
        <rFont val="Times New Roman"/>
        <family val="1"/>
      </rPr>
      <t xml:space="preserve"> </t>
    </r>
    <r>
      <rPr>
        <sz val="12"/>
        <color indexed="8"/>
        <rFont val="Times New Roman"/>
        <family val="1"/>
      </rPr>
      <t>of</t>
    </r>
    <r>
      <rPr>
        <sz val="12"/>
        <color indexed="8"/>
        <rFont val="Times New Roman"/>
        <family val="1"/>
      </rPr>
      <t xml:space="preserve"> </t>
    </r>
    <r>
      <rPr>
        <sz val="12"/>
        <color indexed="8"/>
        <rFont val="Times New Roman"/>
        <family val="1"/>
      </rPr>
      <t>31-10-1994</t>
    </r>
  </si>
  <si>
    <r>
      <rPr>
        <sz val="12"/>
        <color indexed="8"/>
        <rFont val="Times New Roman"/>
        <family val="1"/>
      </rPr>
      <t>Accumulated</t>
    </r>
    <r>
      <rPr>
        <sz val="12"/>
        <color indexed="8"/>
        <rFont val="Times New Roman"/>
        <family val="1"/>
      </rPr>
      <t xml:space="preserve"> </t>
    </r>
    <r>
      <rPr>
        <sz val="12"/>
        <color indexed="8"/>
        <rFont val="Times New Roman"/>
        <family val="1"/>
      </rPr>
      <t>Savi</t>
    </r>
    <r>
      <rPr>
        <sz val="12"/>
        <color indexed="8"/>
        <rFont val="Times New Roman"/>
        <family val="1"/>
      </rPr>
      <t>n</t>
    </r>
    <r>
      <rPr>
        <sz val="12"/>
        <color indexed="8"/>
        <rFont val="Times New Roman"/>
        <family val="1"/>
      </rPr>
      <t>g</t>
    </r>
    <r>
      <rPr>
        <sz val="12"/>
        <color indexed="8"/>
        <rFont val="Times New Roman"/>
        <family val="1"/>
      </rPr>
      <t>s</t>
    </r>
    <r>
      <rPr>
        <sz val="12"/>
        <color indexed="8"/>
        <rFont val="Times New Roman"/>
        <family val="1"/>
      </rPr>
      <t xml:space="preserve"> </t>
    </r>
    <r>
      <rPr>
        <sz val="12"/>
        <color indexed="8"/>
        <rFont val="Times New Roman"/>
        <family val="1"/>
      </rPr>
      <t>as</t>
    </r>
    <r>
      <rPr>
        <sz val="12"/>
        <color indexed="8"/>
        <rFont val="Times New Roman"/>
        <family val="1"/>
      </rPr>
      <t xml:space="preserve"> </t>
    </r>
    <r>
      <rPr>
        <sz val="12"/>
        <color indexed="8"/>
        <rFont val="Times New Roman"/>
        <family val="1"/>
      </rPr>
      <t>on</t>
    </r>
    <r>
      <rPr>
        <sz val="12"/>
        <color indexed="8"/>
        <rFont val="Times New Roman"/>
        <family val="1"/>
      </rPr>
      <t xml:space="preserve"> </t>
    </r>
    <r>
      <rPr>
        <sz val="12"/>
        <color indexed="8"/>
        <rFont val="Times New Roman"/>
        <family val="1"/>
      </rPr>
      <t>31-10-1994</t>
    </r>
    <r>
      <rPr>
        <sz val="12"/>
        <color indexed="8"/>
        <rFont val="Times New Roman"/>
        <family val="1"/>
      </rPr>
      <t xml:space="preserve"> </t>
    </r>
    <r>
      <rPr>
        <sz val="12"/>
        <color indexed="8"/>
        <rFont val="Times New Roman"/>
        <family val="1"/>
      </rPr>
      <t>(i.e.</t>
    </r>
    <r>
      <rPr>
        <sz val="12"/>
        <color indexed="8"/>
        <rFont val="Times New Roman"/>
        <family val="1"/>
      </rPr>
      <t xml:space="preserve"> </t>
    </r>
    <r>
      <rPr>
        <sz val="12"/>
        <color indexed="8"/>
        <rFont val="Times New Roman"/>
        <family val="1"/>
      </rPr>
      <t xml:space="preserve">the
</t>
    </r>
    <r>
      <rPr>
        <sz val="12"/>
        <color indexed="8"/>
        <rFont val="Times New Roman"/>
        <family val="1"/>
      </rPr>
      <t>sum</t>
    </r>
    <r>
      <rPr>
        <sz val="12"/>
        <color indexed="8"/>
        <rFont val="Times New Roman"/>
        <family val="1"/>
      </rPr>
      <t xml:space="preserve"> </t>
    </r>
    <r>
      <rPr>
        <sz val="12"/>
        <color indexed="8"/>
        <rFont val="Times New Roman"/>
        <family val="1"/>
      </rPr>
      <t>of</t>
    </r>
    <r>
      <rPr>
        <sz val="12"/>
        <color indexed="8"/>
        <rFont val="Times New Roman"/>
        <family val="1"/>
      </rPr>
      <t xml:space="preserve"> </t>
    </r>
    <r>
      <rPr>
        <sz val="12"/>
        <color indexed="8"/>
        <rFont val="Times New Roman"/>
        <family val="1"/>
      </rPr>
      <t>portion</t>
    </r>
    <r>
      <rPr>
        <sz val="12"/>
        <color indexed="8"/>
        <rFont val="Times New Roman"/>
        <family val="1"/>
      </rPr>
      <t xml:space="preserve"> </t>
    </r>
    <r>
      <rPr>
        <sz val="12"/>
        <color indexed="8"/>
        <rFont val="Times New Roman"/>
        <family val="1"/>
      </rPr>
      <t>of</t>
    </r>
    <r>
      <rPr>
        <sz val="12"/>
        <color indexed="8"/>
        <rFont val="Times New Roman"/>
        <family val="1"/>
      </rPr>
      <t xml:space="preserve"> </t>
    </r>
    <r>
      <rPr>
        <sz val="12"/>
        <color indexed="8"/>
        <rFont val="Times New Roman"/>
        <family val="1"/>
      </rPr>
      <t>the</t>
    </r>
    <r>
      <rPr>
        <sz val="12"/>
        <color indexed="8"/>
        <rFont val="Times New Roman"/>
        <family val="1"/>
      </rPr>
      <t xml:space="preserve"> </t>
    </r>
    <r>
      <rPr>
        <sz val="12"/>
        <color indexed="8"/>
        <rFont val="Times New Roman"/>
        <family val="1"/>
      </rPr>
      <t>Savin</t>
    </r>
    <r>
      <rPr>
        <sz val="12"/>
        <color indexed="8"/>
        <rFont val="Times New Roman"/>
        <family val="1"/>
      </rPr>
      <t>g</t>
    </r>
    <r>
      <rPr>
        <sz val="12"/>
        <color indexed="8"/>
        <rFont val="Times New Roman"/>
        <family val="1"/>
      </rPr>
      <t>s</t>
    </r>
    <r>
      <rPr>
        <sz val="12"/>
        <color indexed="8"/>
        <rFont val="Times New Roman"/>
        <family val="1"/>
      </rPr>
      <t xml:space="preserve"> </t>
    </r>
    <r>
      <rPr>
        <sz val="12"/>
        <color indexed="8"/>
        <rFont val="Times New Roman"/>
        <family val="1"/>
      </rPr>
      <t>fund</t>
    </r>
    <r>
      <rPr>
        <sz val="12"/>
        <color indexed="8"/>
        <rFont val="Times New Roman"/>
        <family val="1"/>
      </rPr>
      <t xml:space="preserve"> </t>
    </r>
    <r>
      <rPr>
        <sz val="12"/>
        <color indexed="8"/>
        <rFont val="Times New Roman"/>
        <family val="1"/>
      </rPr>
      <t>con</t>
    </r>
    <r>
      <rPr>
        <sz val="12"/>
        <color indexed="8"/>
        <rFont val="Times New Roman"/>
        <family val="1"/>
      </rPr>
      <t>t</t>
    </r>
    <r>
      <rPr>
        <sz val="12"/>
        <color indexed="8"/>
        <rFont val="Times New Roman"/>
        <family val="1"/>
      </rPr>
      <t>ribution</t>
    </r>
    <r>
      <rPr>
        <sz val="12"/>
        <color indexed="8"/>
        <rFont val="Times New Roman"/>
        <family val="1"/>
      </rPr>
      <t xml:space="preserve"> </t>
    </r>
    <r>
      <rPr>
        <sz val="12"/>
        <color indexed="8"/>
        <rFont val="Times New Roman"/>
        <family val="1"/>
      </rPr>
      <t>with</t>
    </r>
    <r>
      <rPr>
        <sz val="12"/>
        <color indexed="8"/>
        <rFont val="Times New Roman"/>
        <family val="1"/>
      </rPr>
      <t xml:space="preserve"> </t>
    </r>
    <r>
      <rPr>
        <sz val="12"/>
        <color indexed="8"/>
        <rFont val="Times New Roman"/>
        <family val="1"/>
      </rPr>
      <t>int</t>
    </r>
    <r>
      <rPr>
        <sz val="12"/>
        <color indexed="8"/>
        <rFont val="Times New Roman"/>
        <family val="1"/>
      </rPr>
      <t>e</t>
    </r>
    <r>
      <rPr>
        <sz val="12"/>
        <color indexed="8"/>
        <rFont val="Times New Roman"/>
        <family val="1"/>
      </rPr>
      <t>r</t>
    </r>
    <r>
      <rPr>
        <sz val="12"/>
        <color indexed="8"/>
        <rFont val="Times New Roman"/>
        <family val="1"/>
      </rPr>
      <t>e</t>
    </r>
    <r>
      <rPr>
        <sz val="12"/>
        <color indexed="8"/>
        <rFont val="Times New Roman"/>
        <family val="1"/>
      </rPr>
      <t>st</t>
    </r>
    <r>
      <rPr>
        <sz val="12"/>
        <color indexed="8"/>
        <rFont val="Times New Roman"/>
        <family val="1"/>
      </rPr>
      <t xml:space="preserve"> </t>
    </r>
    <r>
      <rPr>
        <sz val="12"/>
        <color indexed="8"/>
        <rFont val="Times New Roman"/>
        <family val="1"/>
      </rPr>
      <t>th</t>
    </r>
    <r>
      <rPr>
        <sz val="12"/>
        <color indexed="8"/>
        <rFont val="Times New Roman"/>
        <family val="1"/>
      </rPr>
      <t>e</t>
    </r>
    <r>
      <rPr>
        <sz val="12"/>
        <color indexed="8"/>
        <rFont val="Times New Roman"/>
        <family val="1"/>
      </rPr>
      <t>r</t>
    </r>
    <r>
      <rPr>
        <sz val="12"/>
        <color indexed="8"/>
        <rFont val="Times New Roman"/>
        <family val="1"/>
      </rPr>
      <t>e</t>
    </r>
    <r>
      <rPr>
        <sz val="12"/>
        <color indexed="8"/>
        <rFont val="Times New Roman"/>
        <family val="1"/>
      </rPr>
      <t>on.</t>
    </r>
  </si>
  <si>
    <t>*ACS 86</t>
  </si>
  <si>
    <t>Nov</t>
  </si>
  <si>
    <t>Dec</t>
  </si>
  <si>
    <t>Jan</t>
  </si>
  <si>
    <t>May</t>
  </si>
  <si>
    <t>Jun</t>
  </si>
  <si>
    <t>Jul</t>
  </si>
  <si>
    <t>Aug</t>
  </si>
  <si>
    <t>Year</t>
  </si>
  <si>
    <t>Feb</t>
  </si>
  <si>
    <t>Mar</t>
  </si>
  <si>
    <t>Apr</t>
  </si>
  <si>
    <t>Sept</t>
  </si>
  <si>
    <t>Oct</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</si>
  <si>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</si>
  <si>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</si>
  <si>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</si>
  <si>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</si>
  <si>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</si>
  <si>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</si>
  <si>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</si>
  <si>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</si>
  <si>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</si>
  <si>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</si>
  <si>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</si>
  <si>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</si>
  <si>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</si>
  <si>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</si>
  <si>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</si>
  <si>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</si>
  <si>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</si>
  <si>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</si>
  <si>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*ACS-181</t>
  </si>
  <si>
    <t>*ACS-286</t>
  </si>
  <si>
    <t>June</t>
  </si>
  <si>
    <t>*ACS-402</t>
  </si>
  <si>
    <t>*ACS 669</t>
  </si>
  <si>
    <t>*ACS 822</t>
  </si>
  <si>
    <t>*ACS 990</t>
  </si>
  <si>
    <t>*ACS1179</t>
  </si>
  <si>
    <t>month of retirment</t>
  </si>
  <si>
    <t>Table III</t>
  </si>
  <si>
    <t>Total Amont Payable</t>
  </si>
  <si>
    <t xml:space="preserve">                                                                                                                                                                                                                                                                to ZP</t>
  </si>
  <si>
    <t xml:space="preserve">District </t>
  </si>
  <si>
    <t>PAO Name</t>
  </si>
  <si>
    <t>DDO Design.</t>
  </si>
  <si>
    <t>DDO Code</t>
  </si>
  <si>
    <t>Month</t>
  </si>
  <si>
    <t xml:space="preserve">Bank Code </t>
  </si>
  <si>
    <t>Bank Name</t>
  </si>
  <si>
    <t>DDO &amp; STO Particulars</t>
  </si>
  <si>
    <t>DDO Designation</t>
  </si>
  <si>
    <t>Govt. of Andhra Pradesh</t>
  </si>
  <si>
    <t>APTC  FORM  -  101</t>
  </si>
  <si>
    <t>PAPER TOKEN</t>
  </si>
  <si>
    <t>(See subsidiary Rule 2 (W) Under Treasury Rule 15:</t>
  </si>
  <si>
    <t>Govt. Memo No.  : 38907 / Accounts / 65-5, Dtg: 21-02-1963)</t>
  </si>
  <si>
    <t>STO Code :</t>
  </si>
  <si>
    <t>(For Treasury Use Only)</t>
  </si>
  <si>
    <t>STO NAME :</t>
  </si>
  <si>
    <t>Date :</t>
  </si>
  <si>
    <t>DDO Code :</t>
  </si>
  <si>
    <t>DDO CODE</t>
  </si>
  <si>
    <t xml:space="preserve">DDO design :      </t>
  </si>
  <si>
    <t xml:space="preserve">Treasury / PAO Name : </t>
  </si>
  <si>
    <t xml:space="preserve">DDO Office Name </t>
  </si>
  <si>
    <t>To,</t>
  </si>
  <si>
    <t>Bank Branch Code</t>
  </si>
  <si>
    <t>Name :</t>
  </si>
  <si>
    <t>The Treasury Officer / Manager,</t>
  </si>
  <si>
    <t>Head of Account :</t>
  </si>
  <si>
    <t xml:space="preserve">State Bank of </t>
  </si>
  <si>
    <t>India</t>
  </si>
  <si>
    <t>(Major Head)</t>
  </si>
  <si>
    <t>(Sub-MH)</t>
  </si>
  <si>
    <t>(Minor Head)</t>
  </si>
  <si>
    <t>(Grp-SH)</t>
  </si>
  <si>
    <t>Please Pay Bill No</t>
  </si>
  <si>
    <t>dated</t>
  </si>
  <si>
    <t>for    Rs.</t>
  </si>
  <si>
    <t>(Sub Head)</t>
  </si>
  <si>
    <t>(Det. Head)</t>
  </si>
  <si>
    <t>(Sub Det. Head)</t>
  </si>
  <si>
    <t>Non-Plan=N</t>
  </si>
  <si>
    <t>Charged = C</t>
  </si>
  <si>
    <t>Contingency Fund MH/</t>
  </si>
  <si>
    <t>Plan = P :</t>
  </si>
  <si>
    <t>Voted = V :</t>
  </si>
  <si>
    <t>Service Major Head</t>
  </si>
  <si>
    <t>to Sri/Smt.</t>
  </si>
  <si>
    <t xml:space="preserve"> for the office of the</t>
  </si>
  <si>
    <t xml:space="preserve">whose specimen signature is attested </t>
  </si>
  <si>
    <t>Gross Rs.</t>
  </si>
  <si>
    <t>Deductions Rs.</t>
  </si>
  <si>
    <t>Net Rs.</t>
  </si>
  <si>
    <t>herewith.</t>
  </si>
  <si>
    <t>Signature of the Govt. Servant</t>
  </si>
  <si>
    <t>Received the payment</t>
  </si>
  <si>
    <t>Messenger Name:</t>
  </si>
  <si>
    <t>Designation :</t>
  </si>
  <si>
    <t>Dated:</t>
  </si>
  <si>
    <t>(As ub APTC Form - 101)</t>
  </si>
  <si>
    <t>Attested</t>
  </si>
  <si>
    <t xml:space="preserve">Specimen Signature of </t>
  </si>
  <si>
    <t>1)</t>
  </si>
  <si>
    <t>Messenger</t>
  </si>
  <si>
    <t>2)</t>
  </si>
  <si>
    <t>Signature of the DDO</t>
  </si>
  <si>
    <t>receiving the payment</t>
  </si>
  <si>
    <t>DDO Signature</t>
  </si>
  <si>
    <t>STO Signature</t>
  </si>
  <si>
    <t>GIS</t>
  </si>
  <si>
    <t>State Govt. Employees GIS</t>
  </si>
  <si>
    <t xml:space="preserve">RC No :                                                                                    </t>
  </si>
  <si>
    <t xml:space="preserve"> Dt :</t>
  </si>
  <si>
    <t xml:space="preserve">Sub : </t>
  </si>
  <si>
    <t xml:space="preserve">Ref : </t>
  </si>
  <si>
    <t xml:space="preserve">Copy to </t>
  </si>
  <si>
    <t>The individual,</t>
  </si>
  <si>
    <t>Bill</t>
  </si>
  <si>
    <t>DDO Name</t>
  </si>
  <si>
    <r>
      <t>1)</t>
    </r>
    <r>
      <rPr>
        <sz val="11.5"/>
        <color indexed="8"/>
        <rFont val="Times New Roman"/>
        <family val="1"/>
      </rPr>
      <t xml:space="preserve"> G.O.Ms.No.293, Finance (Plg) Department dated: 08.10.1984</t>
    </r>
  </si>
  <si>
    <r>
      <t>2)</t>
    </r>
    <r>
      <rPr>
        <sz val="11.5"/>
        <color indexed="8"/>
        <rFont val="Times New Roman"/>
        <family val="1"/>
      </rPr>
      <t xml:space="preserve"> G.O.Ms.No.312, Finance (Plg) Department dated: 06.11.1984.</t>
    </r>
  </si>
  <si>
    <t xml:space="preserve">Total amount Payable </t>
  </si>
  <si>
    <t>Contribu- tion @Rs (per one unit)</t>
  </si>
  <si>
    <t>Sep</t>
  </si>
  <si>
    <t>2012-2013</t>
  </si>
  <si>
    <t>Table II</t>
  </si>
  <si>
    <t>GIS Final Payment</t>
  </si>
  <si>
    <t xml:space="preserve">Proceedings RC No </t>
  </si>
  <si>
    <t>Proceedings Date</t>
  </si>
  <si>
    <r>
      <t>3)</t>
    </r>
    <r>
      <rPr>
        <sz val="11.5"/>
        <color indexed="8"/>
        <rFont val="Times New Roman"/>
        <family val="1"/>
      </rPr>
      <t xml:space="preserve"> G.O.Ms.No.148, Finance (Plg) Department dated: 06.06.2012.</t>
    </r>
  </si>
  <si>
    <t>ANNEXURE - C</t>
  </si>
  <si>
    <t>Received a sum of Rs.</t>
  </si>
  <si>
    <t>From the savings fund Total Rs.</t>
  </si>
  <si>
    <t>Name of the employee / member</t>
  </si>
  <si>
    <t>Group to which the employee / member belonged.</t>
  </si>
  <si>
    <t>Name of the beneficiaries in the event of death of the employee / member</t>
  </si>
  <si>
    <t>Relevant biodata of employee / member</t>
  </si>
  <si>
    <t xml:space="preserve">Signature </t>
  </si>
  <si>
    <t xml:space="preserve">Designation of Drawing &amp; Disbursing Officer </t>
  </si>
  <si>
    <t xml:space="preserve">Date </t>
  </si>
  <si>
    <t>For payment to the subscriber / or the nominees of the subscriber as per particulars given below.</t>
  </si>
  <si>
    <t>For the Insurance fund and / or of Rs.</t>
  </si>
  <si>
    <t xml:space="preserve">(Rupees  </t>
  </si>
  <si>
    <t>b) Year of acquiring membership in higher group</t>
  </si>
  <si>
    <t>i)</t>
  </si>
  <si>
    <t>ii)</t>
  </si>
  <si>
    <t>iii)</t>
  </si>
  <si>
    <t xml:space="preserve">                      Certified that in respect of the amount claimed in this bill subscription to the Group Insurance Scheme has been covered regularly at appropriate rates from the date of the subscriber admission to the scheme to the month of cessation of duties </t>
  </si>
  <si>
    <t>1.</t>
  </si>
  <si>
    <t>2.</t>
  </si>
  <si>
    <t>3.</t>
  </si>
  <si>
    <t>4.</t>
  </si>
  <si>
    <t>a) Date of commencement of insurance cover / member ship and the group to which he belonged initially.</t>
  </si>
  <si>
    <t>C</t>
  </si>
  <si>
    <t>B</t>
  </si>
  <si>
    <t>A</t>
  </si>
  <si>
    <t xml:space="preserve">FOR USE IN THE TREASURY OFFICE </t>
  </si>
  <si>
    <t>Passed for payment of Rs.</t>
  </si>
  <si>
    <t>Head of debit</t>
  </si>
  <si>
    <t>8011 - Insurance and Pension funds Andhra Pradesh State employees Group Insurance Scheme (New minor head)</t>
  </si>
  <si>
    <t>Insurance fund (Sub-head)</t>
  </si>
  <si>
    <t>(Desbursements)</t>
  </si>
  <si>
    <t>Saving fund (Sub-head)</t>
  </si>
  <si>
    <t>Signature</t>
  </si>
  <si>
    <t>Designation of Treasury</t>
  </si>
  <si>
    <t>Date</t>
  </si>
  <si>
    <t>Officer :</t>
  </si>
  <si>
    <t>Amount
Rs.              Ps.</t>
  </si>
  <si>
    <t>Date of Commencement of the Scheme</t>
  </si>
  <si>
    <t>Last installment contributed</t>
  </si>
  <si>
    <t>:</t>
  </si>
  <si>
    <t>Calculation of Saving Fund with interest :</t>
  </si>
  <si>
    <t>Retirement</t>
  </si>
  <si>
    <t>Group</t>
  </si>
  <si>
    <t>Units</t>
  </si>
  <si>
    <t>Insurance</t>
  </si>
  <si>
    <t>Saving</t>
  </si>
  <si>
    <t>Subscription</t>
  </si>
  <si>
    <t>months</t>
  </si>
  <si>
    <t>Pre Group</t>
  </si>
  <si>
    <t xml:space="preserve">Year </t>
  </si>
  <si>
    <t>Final /Part final payment
in Rs</t>
  </si>
  <si>
    <t>Reason for discontinuation of the Scheme</t>
  </si>
  <si>
    <t>No of units</t>
  </si>
  <si>
    <t>Subscription per unit</t>
  </si>
  <si>
    <t>Insurance Fund</t>
  </si>
  <si>
    <r>
      <t xml:space="preserve">c) Date of retirement </t>
    </r>
    <r>
      <rPr>
        <strike/>
        <sz val="11"/>
        <color indexed="8"/>
        <rFont val="Calibri"/>
        <family val="2"/>
      </rPr>
      <t>/ resignation / death</t>
    </r>
    <r>
      <rPr>
        <sz val="11"/>
        <color theme="1"/>
        <rFont val="Calibri"/>
        <family val="2"/>
      </rPr>
      <t xml:space="preserve"> : </t>
    </r>
  </si>
  <si>
    <r>
      <t xml:space="preserve">Designation of the Post held immediately before retirement </t>
    </r>
    <r>
      <rPr>
        <strike/>
        <sz val="11"/>
        <color indexed="8"/>
        <rFont val="Calibri"/>
        <family val="2"/>
      </rPr>
      <t>/death</t>
    </r>
    <r>
      <rPr>
        <sz val="11"/>
        <color theme="1"/>
        <rFont val="Calibri"/>
        <family val="2"/>
      </rPr>
      <t>.</t>
    </r>
  </si>
  <si>
    <r>
      <t>FORM OF BILL FOR GROUP INSURANCE AT THE TIME OF RETIREMENT</t>
    </r>
    <r>
      <rPr>
        <strike/>
        <sz val="11"/>
        <color indexed="8"/>
        <rFont val="Calibri"/>
        <family val="2"/>
      </rPr>
      <t>/ RESIGNATION / DEATH</t>
    </r>
  </si>
  <si>
    <t>Saving Fund</t>
  </si>
  <si>
    <t>Subscription remitted per month</t>
  </si>
  <si>
    <t>Calculation of ACS with interest sheet enclosed to this proceedings</t>
  </si>
  <si>
    <t>Rate of contribution per one unit</t>
  </si>
  <si>
    <t>Contribution  per month</t>
  </si>
  <si>
    <t xml:space="preserve">Insurance Fund </t>
  </si>
  <si>
    <t>Date of retirment/Expired</t>
  </si>
  <si>
    <t>2013-2014</t>
  </si>
  <si>
    <t>ACS 530</t>
  </si>
  <si>
    <t>*ACS 1388</t>
  </si>
  <si>
    <t>Driver</t>
  </si>
  <si>
    <t>Place of working</t>
  </si>
  <si>
    <t>Sub-Divisional Forest Officer, R.C.Varam</t>
  </si>
  <si>
    <t>Name of the Employee</t>
  </si>
  <si>
    <t xml:space="preserve">Name of the Office </t>
  </si>
  <si>
    <t>DTO, Kakinada</t>
  </si>
  <si>
    <t>2/2011 E</t>
  </si>
  <si>
    <t>East Godavari</t>
  </si>
  <si>
    <t>SBI, Try. Branch, Kakinada</t>
  </si>
  <si>
    <t xml:space="preserve">          According to the instructions issued by the Govrnment in the  ref.(1) and (2) cited above, the share of Savings Fund contributed by the employees to A.P.State Govt. Employees Group Insurance Scheme should be refunded together with interest at prescribed rates on retirement and lumpsum amount along with the Accumulated savings and interest in the case of death while in service.</t>
  </si>
  <si>
    <t xml:space="preserve">        The amount is payable to the party through cheque / DD and the expenditure is debitable from Head of  Account "8011-Insurance and Pension Funds, 107-Other Insurance and pension Funds, 02-GIS, 002-Principle, 003-Interest" </t>
  </si>
  <si>
    <r>
      <t>4)</t>
    </r>
    <r>
      <rPr>
        <sz val="11.5"/>
        <color indexed="8"/>
        <rFont val="Times New Roman"/>
        <family val="1"/>
      </rPr>
      <t xml:space="preserve"> G.O.Ms.No.126, Finance (Plg) Department dated: 29.05.2013.</t>
    </r>
  </si>
  <si>
    <t>District Forest Officer</t>
  </si>
  <si>
    <t>Kakinada Division, Kakinada</t>
  </si>
  <si>
    <t>Sri T.Subba Reddy, IFS.,</t>
  </si>
  <si>
    <t>03010402001</t>
  </si>
  <si>
    <t>5) Application of the Individual.</t>
  </si>
  <si>
    <r>
      <t xml:space="preserve">GIS Final Payment Software
</t>
    </r>
    <r>
      <rPr>
        <b/>
        <sz val="24"/>
        <color indexed="10"/>
        <rFont val="Arial Black"/>
        <family val="2"/>
      </rPr>
      <t>Particulars</t>
    </r>
  </si>
  <si>
    <t>01425</t>
  </si>
  <si>
    <t>Sri</t>
  </si>
  <si>
    <t>Retired case / Death Case</t>
  </si>
  <si>
    <t>Relation with Employee (in Death case only)</t>
  </si>
  <si>
    <t>Name of the Nominee (in Death case only)</t>
  </si>
  <si>
    <t>Retired case</t>
  </si>
  <si>
    <t>Bandi Babji</t>
  </si>
  <si>
    <t>Insurance amount Payable</t>
  </si>
  <si>
    <t xml:space="preserve">        The amount is payable to the party through cheque / DD and the expenditure is debitable from Head of  Account "8011-Insurance and Pension Funds, 107-Other Insurance and pension Funds, 02-GIS, 001-Insurance"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</si>
</sst>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dd\-mm\-yyyy;@"/>
    <numFmt numFmtId="173" formatCode="mm/yy"/>
    <numFmt numFmtId="174" formatCode="mm\ \ \-\ \ yyyy"/>
    <numFmt numFmtId="175" formatCode="mmmm\-yyyy"/>
    <numFmt numFmtId="176" formatCode="[$-409]dddd\,\ mmmm\ dd\,\ yyyy"/>
    <numFmt numFmtId="177" formatCode="mmm\-yyyy"/>
    <numFmt numFmtId="178" formatCode="0.0_);\(0.0\)"/>
    <numFmt numFmtId="179" formatCode="\(#\)"/>
    <numFmt numFmtId="180" formatCode="0;[Red]0"/>
    <numFmt numFmtId="181" formatCode="00000"/>
    <numFmt numFmtId="182" formatCode="[$-409]mmmm\-yy;@"/>
    <numFmt numFmtId="183" formatCode="0.00;[Red]0.00"/>
    <numFmt numFmtId="184" formatCode="m/yyyy"/>
    <numFmt numFmtId="185" formatCode="0#"/>
    <numFmt numFmtId="186" formatCode="dd"/>
    <numFmt numFmtId="187" formatCode="mmm/yyyy"/>
    <numFmt numFmtId="188" formatCode="0.0"/>
    <numFmt numFmtId="189" formatCode="0.000"/>
    <numFmt numFmtId="190" formatCode="0.0000"/>
    <numFmt numFmtId="191" formatCode="dd/mm/yyyy;@"/>
    <numFmt numFmtId="192" formatCode="&quot;Yes&quot;;&quot;Yes&quot;;&quot;No&quot;"/>
    <numFmt numFmtId="193" formatCode="&quot;True&quot;;&quot;True&quot;;&quot;False&quot;"/>
    <numFmt numFmtId="194" formatCode="&quot;On&quot;;&quot;On&quot;;&quot;Off&quot;"/>
    <numFmt numFmtId="195" formatCode="[$€-2]\ #,##0.00_);[Red]\([$€-2]\ #,##0.00\)"/>
  </numFmts>
  <fonts count="138">
    <font>
      <sz val="11"/>
      <color theme="1"/>
      <name val="Calibri"/>
      <family val="2"/>
    </font>
    <font>
      <sz val="11"/>
      <color indexed="8"/>
      <name val="Calibri"/>
      <family val="2"/>
    </font>
    <font>
      <sz val="10"/>
      <name val="Arial"/>
      <family val="2"/>
    </font>
    <font>
      <b/>
      <i/>
      <sz val="10"/>
      <color indexed="8"/>
      <name val="Postino Italic"/>
      <family val="1"/>
    </font>
    <font>
      <b/>
      <sz val="12"/>
      <name val="Arial"/>
      <family val="2"/>
    </font>
    <font>
      <i/>
      <sz val="8"/>
      <name val="Raavi"/>
      <family val="0"/>
    </font>
    <font>
      <b/>
      <sz val="14"/>
      <name val="Arial"/>
      <family val="2"/>
    </font>
    <font>
      <b/>
      <sz val="11"/>
      <name val="Arial"/>
      <family val="2"/>
    </font>
    <font>
      <i/>
      <sz val="10"/>
      <name val="Arial"/>
      <family val="2"/>
    </font>
    <font>
      <b/>
      <i/>
      <sz val="12"/>
      <name val="Arial"/>
      <family val="2"/>
    </font>
    <font>
      <sz val="16"/>
      <name val="Rage Italic"/>
      <family val="4"/>
    </font>
    <font>
      <b/>
      <sz val="10"/>
      <name val="Arial"/>
      <family val="2"/>
    </font>
    <font>
      <sz val="9"/>
      <name val="Arial"/>
      <family val="2"/>
    </font>
    <font>
      <sz val="11"/>
      <name val="Arial"/>
      <family val="2"/>
    </font>
    <font>
      <sz val="8"/>
      <name val="Arial"/>
      <family val="2"/>
    </font>
    <font>
      <sz val="14"/>
      <name val="Rage Italic"/>
      <family val="4"/>
    </font>
    <font>
      <b/>
      <i/>
      <sz val="10"/>
      <name val="Arial"/>
      <family val="2"/>
    </font>
    <font>
      <sz val="10"/>
      <color indexed="8"/>
      <name val="Arial"/>
      <family val="2"/>
    </font>
    <font>
      <sz val="10"/>
      <name val="Courier New"/>
      <family val="3"/>
    </font>
    <font>
      <b/>
      <sz val="11"/>
      <color indexed="8"/>
      <name val="Times New Roman"/>
      <family val="1"/>
    </font>
    <font>
      <b/>
      <u val="single"/>
      <sz val="10"/>
      <name val="Arial"/>
      <family val="2"/>
    </font>
    <font>
      <b/>
      <u val="single"/>
      <sz val="14"/>
      <name val="Arial"/>
      <family val="2"/>
    </font>
    <font>
      <sz val="12"/>
      <color indexed="8"/>
      <name val="Times New Roman"/>
      <family val="1"/>
    </font>
    <font>
      <sz val="16"/>
      <name val="Arial"/>
      <family val="2"/>
    </font>
    <font>
      <b/>
      <sz val="12"/>
      <name val="Arial Black"/>
      <family val="2"/>
    </font>
    <font>
      <b/>
      <u val="single"/>
      <sz val="12"/>
      <name val="Arial Black"/>
      <family val="2"/>
    </font>
    <font>
      <i/>
      <sz val="9"/>
      <name val="Lucida Calligraphy"/>
      <family val="4"/>
    </font>
    <font>
      <b/>
      <sz val="16"/>
      <name val="Arial"/>
      <family val="2"/>
    </font>
    <font>
      <i/>
      <sz val="10"/>
      <name val="Lucida Calligraphy"/>
      <family val="4"/>
    </font>
    <font>
      <i/>
      <sz val="11"/>
      <name val="Arial"/>
      <family val="2"/>
    </font>
    <font>
      <i/>
      <sz val="8"/>
      <name val="Arial"/>
      <family val="2"/>
    </font>
    <font>
      <i/>
      <sz val="12"/>
      <name val="Lucida Calligraphy"/>
      <family val="4"/>
    </font>
    <font>
      <sz val="12"/>
      <name val="Arial"/>
      <family val="2"/>
    </font>
    <font>
      <i/>
      <sz val="10"/>
      <name val="Cambria"/>
      <family val="1"/>
    </font>
    <font>
      <sz val="12"/>
      <name val="Times New Roman"/>
      <family val="1"/>
    </font>
    <font>
      <sz val="11.5"/>
      <color indexed="8"/>
      <name val="Times New Roman"/>
      <family val="1"/>
    </font>
    <font>
      <b/>
      <sz val="12"/>
      <name val="Times New Roman"/>
      <family val="1"/>
    </font>
    <font>
      <strike/>
      <sz val="11"/>
      <color indexed="8"/>
      <name val="Calibri"/>
      <family val="2"/>
    </font>
    <font>
      <b/>
      <sz val="11"/>
      <name val="Arial Black"/>
      <family val="2"/>
    </font>
    <font>
      <b/>
      <sz val="9.5"/>
      <name val="Times New Roman"/>
      <family val="1"/>
    </font>
    <font>
      <sz val="9.5"/>
      <name val="Times New Roman"/>
      <family val="1"/>
    </font>
    <font>
      <sz val="9.5"/>
      <name val="Arial"/>
      <family val="2"/>
    </font>
    <font>
      <b/>
      <sz val="8"/>
      <name val="Arial"/>
      <family val="2"/>
    </font>
    <font>
      <b/>
      <sz val="9.5"/>
      <name val="Arial"/>
      <family val="2"/>
    </font>
    <font>
      <b/>
      <sz val="9"/>
      <name val="Times New Roman"/>
      <family val="1"/>
    </font>
    <font>
      <sz val="11.25"/>
      <name val="Times New Roman"/>
      <family val="1"/>
    </font>
    <font>
      <sz val="10.5"/>
      <name val="Arial"/>
      <family val="2"/>
    </font>
    <font>
      <b/>
      <sz val="10.5"/>
      <name val="Arial"/>
      <family val="2"/>
    </font>
    <font>
      <b/>
      <i/>
      <sz val="10"/>
      <name val="Arial Black"/>
      <family val="2"/>
    </font>
    <font>
      <b/>
      <i/>
      <sz val="9"/>
      <name val="Arial"/>
      <family val="2"/>
    </font>
    <font>
      <i/>
      <sz val="10"/>
      <name val="Impact"/>
      <family val="2"/>
    </font>
    <font>
      <b/>
      <sz val="24"/>
      <color indexed="10"/>
      <name val="Arial Black"/>
      <family val="2"/>
    </font>
    <font>
      <b/>
      <sz val="14"/>
      <name val="Poor Richard"/>
      <family val="1"/>
    </font>
    <font>
      <i/>
      <u val="singleAccounting"/>
      <sz val="10"/>
      <name val="Elephant"/>
      <family val="1"/>
    </font>
    <font>
      <sz val="10"/>
      <name val="Elephant"/>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20"/>
      <color indexed="8"/>
      <name val="Calibri"/>
      <family val="2"/>
    </font>
    <font>
      <sz val="11"/>
      <color indexed="8"/>
      <name val="Times New Roman"/>
      <family val="1"/>
    </font>
    <font>
      <b/>
      <u val="single"/>
      <sz val="14"/>
      <color indexed="8"/>
      <name val="Calibri"/>
      <family val="2"/>
    </font>
    <font>
      <sz val="12"/>
      <color indexed="8"/>
      <name val="Calibri"/>
      <family val="2"/>
    </font>
    <font>
      <sz val="11.5"/>
      <color indexed="10"/>
      <name val="Times New Roman"/>
      <family val="1"/>
    </font>
    <font>
      <sz val="10"/>
      <color indexed="8"/>
      <name val="Calibri"/>
      <family val="2"/>
    </font>
    <font>
      <sz val="10"/>
      <color indexed="8"/>
      <name val="Times New Roman"/>
      <family val="1"/>
    </font>
    <font>
      <sz val="10"/>
      <color indexed="10"/>
      <name val="Calibri"/>
      <family val="2"/>
    </font>
    <font>
      <b/>
      <sz val="12"/>
      <color indexed="9"/>
      <name val="Arial"/>
      <family val="2"/>
    </font>
    <font>
      <sz val="18"/>
      <color indexed="8"/>
      <name val="Calibri"/>
      <family val="2"/>
    </font>
    <font>
      <sz val="14"/>
      <color indexed="8"/>
      <name val="Calibri"/>
      <family val="2"/>
    </font>
    <font>
      <sz val="14"/>
      <color indexed="9"/>
      <name val="Arial"/>
      <family val="2"/>
    </font>
    <font>
      <b/>
      <u val="single"/>
      <sz val="24"/>
      <color indexed="8"/>
      <name val="Arial Black"/>
      <family val="2"/>
    </font>
    <font>
      <b/>
      <sz val="20"/>
      <color indexed="56"/>
      <name val="Arial"/>
      <family val="2"/>
    </font>
    <font>
      <b/>
      <sz val="14"/>
      <color indexed="9"/>
      <name val="Arial"/>
      <family val="2"/>
    </font>
    <font>
      <sz val="14"/>
      <color indexed="9"/>
      <name val="Calibri"/>
      <family val="2"/>
    </font>
    <font>
      <b/>
      <sz val="12"/>
      <color indexed="8"/>
      <name val="Calibri"/>
      <family val="2"/>
    </font>
    <font>
      <sz val="18"/>
      <color indexed="8"/>
      <name val="Castellar"/>
      <family val="1"/>
    </font>
    <font>
      <i/>
      <sz val="11"/>
      <color indexed="8"/>
      <name val="Consolas"/>
      <family val="3"/>
    </font>
    <font>
      <b/>
      <sz val="14"/>
      <color indexed="8"/>
      <name val="Calibri"/>
      <family val="2"/>
    </font>
    <font>
      <sz val="10"/>
      <color indexed="8"/>
      <name val="Palatino Linotype"/>
      <family val="1"/>
    </font>
    <font>
      <b/>
      <sz val="16"/>
      <color indexed="51"/>
      <name val="Calibri"/>
      <family val="0"/>
    </font>
    <font>
      <b/>
      <sz val="12"/>
      <color indexed="51"/>
      <name val="Calibri"/>
      <family val="0"/>
    </font>
    <font>
      <b/>
      <sz val="14"/>
      <color indexed="51"/>
      <name val="Calibri"/>
      <family val="0"/>
    </font>
    <font>
      <b/>
      <sz val="20"/>
      <color indexed="51"/>
      <name val="Calibri"/>
      <family val="0"/>
    </font>
    <font>
      <u val="single"/>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20"/>
      <color theme="1"/>
      <name val="Calibri"/>
      <family val="2"/>
    </font>
    <font>
      <sz val="12"/>
      <color rgb="FF000000"/>
      <name val="Times New Roman"/>
      <family val="1"/>
    </font>
    <font>
      <sz val="11"/>
      <color rgb="FF000000"/>
      <name val="Times New Roman"/>
      <family val="1"/>
    </font>
    <font>
      <b/>
      <u val="single"/>
      <sz val="14"/>
      <color theme="1"/>
      <name val="Calibri"/>
      <family val="2"/>
    </font>
    <font>
      <sz val="12"/>
      <color theme="1"/>
      <name val="Calibri"/>
      <family val="2"/>
    </font>
    <font>
      <b/>
      <sz val="11"/>
      <color rgb="FF000000"/>
      <name val="Times New Roman"/>
      <family val="1"/>
    </font>
    <font>
      <sz val="10"/>
      <color theme="1"/>
      <name val="Arial"/>
      <family val="2"/>
    </font>
    <font>
      <sz val="11.5"/>
      <color rgb="FFFF0000"/>
      <name val="Times New Roman"/>
      <family val="1"/>
    </font>
    <font>
      <sz val="10"/>
      <color theme="1"/>
      <name val="Calibri"/>
      <family val="2"/>
    </font>
    <font>
      <sz val="10"/>
      <color rgb="FF000000"/>
      <name val="Times New Roman"/>
      <family val="1"/>
    </font>
    <font>
      <sz val="10"/>
      <color rgb="FFFF0000"/>
      <name val="Calibri"/>
      <family val="2"/>
    </font>
    <font>
      <b/>
      <sz val="12"/>
      <color theme="0"/>
      <name val="Arial"/>
      <family val="2"/>
    </font>
    <font>
      <sz val="18"/>
      <color theme="1"/>
      <name val="Calibri"/>
      <family val="2"/>
    </font>
    <font>
      <sz val="14"/>
      <color theme="1"/>
      <name val="Calibri"/>
      <family val="2"/>
    </font>
    <font>
      <sz val="14"/>
      <color theme="0"/>
      <name val="Arial"/>
      <family val="2"/>
    </font>
    <font>
      <sz val="14"/>
      <color theme="0"/>
      <name val="Calibri"/>
      <family val="2"/>
    </font>
    <font>
      <b/>
      <u val="single"/>
      <sz val="24"/>
      <color theme="1"/>
      <name val="Arial Black"/>
      <family val="2"/>
    </font>
    <font>
      <b/>
      <sz val="20"/>
      <color rgb="FF002060"/>
      <name val="Arial"/>
      <family val="2"/>
    </font>
    <font>
      <b/>
      <sz val="14"/>
      <color theme="0"/>
      <name val="Arial"/>
      <family val="2"/>
    </font>
    <font>
      <b/>
      <sz val="12"/>
      <color theme="1"/>
      <name val="Calibri"/>
      <family val="2"/>
    </font>
    <font>
      <i/>
      <sz val="11"/>
      <color theme="1"/>
      <name val="Consolas"/>
      <family val="3"/>
    </font>
    <font>
      <sz val="18"/>
      <color theme="1"/>
      <name val="Castellar"/>
      <family val="1"/>
    </font>
    <font>
      <b/>
      <sz val="14"/>
      <color theme="1"/>
      <name val="Calibri"/>
      <family val="2"/>
    </font>
    <font>
      <sz val="10"/>
      <color theme="1"/>
      <name val="Palatino Linotype"/>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2" tint="-0.09994000196456909"/>
        <bgColor indexed="64"/>
      </patternFill>
    </fill>
    <fill>
      <patternFill patternType="solid">
        <fgColor theme="1" tint="0.49998000264167786"/>
        <bgColor indexed="64"/>
      </patternFill>
    </fill>
    <fill>
      <patternFill patternType="solid">
        <fgColor theme="3" tint="0.5999600291252136"/>
        <bgColor indexed="64"/>
      </patternFill>
    </fill>
    <fill>
      <patternFill patternType="solid">
        <fgColor theme="3" tint="0.599990010261535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style="thin"/>
      <right/>
      <top/>
      <bottom/>
    </border>
    <border>
      <left/>
      <right style="thin"/>
      <top/>
      <bottom/>
    </border>
    <border>
      <left style="thin"/>
      <right style="thin"/>
      <top style="thin"/>
      <bottom style="thin"/>
    </border>
    <border>
      <left/>
      <right style="thin"/>
      <top style="thin"/>
      <bottom style="thin"/>
    </border>
    <border>
      <left style="thin"/>
      <right/>
      <top/>
      <bottom style="thin"/>
    </border>
    <border>
      <left/>
      <right/>
      <top/>
      <bottom style="thin"/>
    </border>
    <border>
      <left/>
      <right/>
      <top style="thin"/>
      <bottom/>
    </border>
    <border>
      <left style="thin"/>
      <right style="thin"/>
      <top style="thin"/>
      <bottom/>
    </border>
    <border>
      <left style="thin"/>
      <right style="thin"/>
      <top/>
      <bottom style="thin"/>
    </border>
    <border>
      <left/>
      <right/>
      <top style="thin"/>
      <bottom style="thin"/>
    </border>
    <border>
      <left style="thin"/>
      <right/>
      <top style="thin"/>
      <bottom/>
    </border>
    <border>
      <left style="thin"/>
      <right style="thin"/>
      <top/>
      <bottom/>
    </border>
    <border>
      <left/>
      <right/>
      <top/>
      <bottom style="dotted"/>
    </border>
    <border>
      <left/>
      <right/>
      <top style="dotted"/>
      <bottom/>
    </border>
    <border>
      <left style="double"/>
      <right style="double"/>
      <top style="double"/>
      <bottom style="double"/>
    </border>
    <border>
      <left>
        <color indexed="63"/>
      </left>
      <right style="thin">
        <color rgb="FF000000"/>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right/>
      <top style="thin"/>
      <bottom style="dotted"/>
    </border>
    <border>
      <left style="thin">
        <color rgb="FF000000"/>
      </left>
      <right style="thin">
        <color rgb="FF000000"/>
      </right>
      <top style="thin">
        <color rgb="FF000000"/>
      </top>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border>
    <border>
      <left style="thin">
        <color rgb="FF000000"/>
      </left>
      <right style="medium"/>
      <top style="thin">
        <color rgb="FF000000"/>
      </top>
      <bottom/>
    </border>
    <border>
      <left style="medium"/>
      <right style="thin">
        <color rgb="FF000000"/>
      </right>
      <top>
        <color indexed="63"/>
      </top>
      <bottom>
        <color indexed="63"/>
      </bottom>
    </border>
    <border>
      <left style="thin">
        <color rgb="FF000000"/>
      </left>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border>
    <border>
      <left/>
      <right style="medium"/>
      <top style="thin"/>
      <bottom style="dotted"/>
    </border>
    <border>
      <left style="medium"/>
      <right/>
      <top/>
      <bottom style="thin"/>
    </border>
    <border>
      <left/>
      <right style="medium"/>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medium"/>
      <top style="thin"/>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medium"/>
      <top/>
      <bottom style="dotted"/>
    </border>
    <border>
      <left/>
      <right style="double"/>
      <top style="double"/>
      <bottom style="double"/>
    </border>
    <border>
      <left style="double"/>
      <right>
        <color indexed="63"/>
      </right>
      <top style="double"/>
      <bottom style="double"/>
    </border>
    <border>
      <left>
        <color indexed="63"/>
      </left>
      <right/>
      <top style="double"/>
      <bottom style="double"/>
    </border>
    <border>
      <left style="thin">
        <color rgb="FF000000"/>
      </left>
      <right style="medium"/>
      <top style="medium"/>
      <bottom style="thin">
        <color rgb="FF000000"/>
      </bottom>
    </border>
    <border>
      <left style="medium"/>
      <right/>
      <top style="thin"/>
      <bottom style="medium"/>
    </border>
    <border>
      <left/>
      <right/>
      <top style="thin"/>
      <bottom style="medium"/>
    </border>
    <border>
      <left/>
      <right style="medium"/>
      <top style="thin"/>
      <bottom style="medium"/>
    </border>
    <border>
      <left style="medium"/>
      <right style="thin">
        <color rgb="FF000000"/>
      </right>
      <top style="medium"/>
      <bottom/>
    </border>
    <border>
      <left style="medium"/>
      <right style="thin">
        <color rgb="FF000000"/>
      </right>
      <top/>
      <bottom style="thin">
        <color rgb="FF000000"/>
      </bottom>
    </border>
    <border>
      <left style="thin">
        <color rgb="FF000000"/>
      </left>
      <right style="thin">
        <color rgb="FF000000"/>
      </right>
      <top style="medium"/>
      <bottom style="thin">
        <color rgb="FF000000"/>
      </bottom>
    </border>
    <border>
      <left style="thin">
        <color rgb="FF000000"/>
      </left>
      <right style="thin">
        <color rgb="FF000000"/>
      </right>
      <top style="medium"/>
      <bottom/>
    </border>
    <border>
      <left style="thin">
        <color rgb="FF000000"/>
      </left>
      <right style="thin">
        <color rgb="FF000000"/>
      </right>
      <top/>
      <bottom style="thin">
        <color rgb="FF000000"/>
      </bottom>
    </border>
    <border>
      <left style="medium"/>
      <right>
        <color indexed="63"/>
      </right>
      <top/>
      <bottom style="dotted"/>
    </border>
    <border>
      <left/>
      <right style="thin"/>
      <top/>
      <bottom style="thin"/>
    </border>
    <border>
      <left/>
      <right style="medium"/>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 fillId="0" borderId="0">
      <alignmen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571">
    <xf numFmtId="0" fontId="0" fillId="0" borderId="0" xfId="0" applyFont="1" applyAlignment="1">
      <alignment/>
    </xf>
    <xf numFmtId="0" fontId="2" fillId="0" borderId="0" xfId="56" applyAlignment="1" applyProtection="1">
      <alignment vertical="center"/>
      <protection hidden="1"/>
    </xf>
    <xf numFmtId="174" fontId="6" fillId="0" borderId="0" xfId="56" applyNumberFormat="1" applyFont="1" applyBorder="1" applyAlignment="1" applyProtection="1">
      <alignment vertical="center"/>
      <protection hidden="1"/>
    </xf>
    <xf numFmtId="0" fontId="2" fillId="0" borderId="10" xfId="56" applyBorder="1" applyAlignment="1" applyProtection="1">
      <alignment vertical="center"/>
      <protection hidden="1"/>
    </xf>
    <xf numFmtId="0" fontId="11" fillId="0" borderId="0" xfId="56" applyFont="1" applyBorder="1" applyAlignment="1" applyProtection="1">
      <alignment horizontal="center" vertical="center"/>
      <protection hidden="1"/>
    </xf>
    <xf numFmtId="0" fontId="2" fillId="0" borderId="0" xfId="56" applyAlignment="1" applyProtection="1">
      <alignment horizontal="center" vertical="center"/>
      <protection hidden="1"/>
    </xf>
    <xf numFmtId="0" fontId="2" fillId="0" borderId="11" xfId="56" applyBorder="1" applyAlignment="1" applyProtection="1">
      <alignment vertical="center"/>
      <protection hidden="1"/>
    </xf>
    <xf numFmtId="0" fontId="2" fillId="0" borderId="12" xfId="56" applyBorder="1" applyAlignment="1" applyProtection="1">
      <alignment vertical="center"/>
      <protection hidden="1"/>
    </xf>
    <xf numFmtId="0" fontId="2" fillId="0" borderId="13" xfId="56" applyFont="1" applyBorder="1" applyAlignment="1" applyProtection="1">
      <alignment horizontal="center" vertical="center"/>
      <protection hidden="1"/>
    </xf>
    <xf numFmtId="0" fontId="2" fillId="0" borderId="14" xfId="56" applyFont="1" applyBorder="1" applyAlignment="1" applyProtection="1">
      <alignment horizontal="center" vertical="center"/>
      <protection hidden="1"/>
    </xf>
    <xf numFmtId="0" fontId="2" fillId="0" borderId="0" xfId="56" applyBorder="1" applyAlignment="1" applyProtection="1">
      <alignment horizontal="center" vertical="center"/>
      <protection hidden="1"/>
    </xf>
    <xf numFmtId="0" fontId="2" fillId="0" borderId="0" xfId="56" applyFont="1" applyBorder="1" applyAlignment="1" applyProtection="1">
      <alignment horizontal="center" vertical="center"/>
      <protection hidden="1"/>
    </xf>
    <xf numFmtId="0" fontId="2" fillId="0" borderId="15" xfId="56" applyBorder="1" applyAlignment="1" applyProtection="1">
      <alignment vertical="center"/>
      <protection hidden="1"/>
    </xf>
    <xf numFmtId="0" fontId="2" fillId="0" borderId="16" xfId="56" applyBorder="1" applyAlignment="1" applyProtection="1">
      <alignment horizontal="center" vertical="center"/>
      <protection hidden="1"/>
    </xf>
    <xf numFmtId="0" fontId="2" fillId="0" borderId="0" xfId="56" applyBorder="1" applyAlignment="1" applyProtection="1">
      <alignment vertical="center"/>
      <protection hidden="1"/>
    </xf>
    <xf numFmtId="0" fontId="2" fillId="0" borderId="17" xfId="56" applyBorder="1" applyAlignment="1" applyProtection="1">
      <alignment vertical="center"/>
      <protection hidden="1"/>
    </xf>
    <xf numFmtId="0" fontId="2" fillId="0" borderId="0" xfId="56" applyFill="1" applyBorder="1" applyAlignment="1" applyProtection="1">
      <alignment horizontal="left" vertical="center"/>
      <protection hidden="1"/>
    </xf>
    <xf numFmtId="0" fontId="2" fillId="0" borderId="0" xfId="56" applyFont="1" applyAlignment="1" applyProtection="1">
      <alignment horizontal="center" vertical="center"/>
      <protection hidden="1"/>
    </xf>
    <xf numFmtId="0" fontId="2" fillId="0" borderId="12" xfId="56" applyFont="1" applyBorder="1" applyAlignment="1" applyProtection="1">
      <alignment horizontal="center" vertical="center"/>
      <protection hidden="1"/>
    </xf>
    <xf numFmtId="0" fontId="2" fillId="0" borderId="11" xfId="56" applyBorder="1" applyAlignment="1" applyProtection="1">
      <alignment horizontal="center" vertical="center"/>
      <protection hidden="1"/>
    </xf>
    <xf numFmtId="0" fontId="2" fillId="0" borderId="16" xfId="56" applyBorder="1" applyAlignment="1" applyProtection="1">
      <alignment vertical="center"/>
      <protection hidden="1"/>
    </xf>
    <xf numFmtId="0" fontId="2" fillId="0" borderId="0" xfId="56" applyFill="1" applyBorder="1" applyAlignment="1" applyProtection="1">
      <alignment vertical="center"/>
      <protection hidden="1"/>
    </xf>
    <xf numFmtId="0" fontId="2" fillId="0" borderId="11" xfId="56" applyFont="1" applyBorder="1" applyAlignment="1" applyProtection="1">
      <alignment vertical="center"/>
      <protection hidden="1"/>
    </xf>
    <xf numFmtId="0" fontId="2" fillId="0" borderId="0" xfId="56" applyFont="1" applyBorder="1" applyAlignment="1" applyProtection="1">
      <alignment vertical="center"/>
      <protection hidden="1"/>
    </xf>
    <xf numFmtId="0" fontId="2" fillId="0" borderId="12" xfId="56" applyFont="1" applyBorder="1" applyAlignment="1" applyProtection="1">
      <alignment vertical="center"/>
      <protection hidden="1"/>
    </xf>
    <xf numFmtId="0" fontId="2" fillId="0" borderId="0" xfId="56" applyFont="1" applyAlignment="1" applyProtection="1">
      <alignment vertical="center"/>
      <protection hidden="1"/>
    </xf>
    <xf numFmtId="0" fontId="2" fillId="0" borderId="12" xfId="56" applyBorder="1" applyAlignment="1" applyProtection="1">
      <alignment horizontal="center" vertical="center"/>
      <protection hidden="1"/>
    </xf>
    <xf numFmtId="0" fontId="2" fillId="0" borderId="0" xfId="56" applyAlignment="1" applyProtection="1">
      <alignment horizontal="left" vertical="center" wrapText="1"/>
      <protection hidden="1"/>
    </xf>
    <xf numFmtId="0" fontId="16" fillId="0" borderId="0" xfId="56" applyFont="1" applyBorder="1" applyAlignment="1" applyProtection="1">
      <alignment horizontal="center" vertical="center"/>
      <protection hidden="1"/>
    </xf>
    <xf numFmtId="0" fontId="2" fillId="0" borderId="0" xfId="56" applyProtection="1">
      <alignment/>
      <protection hidden="1"/>
    </xf>
    <xf numFmtId="175" fontId="7" fillId="0" borderId="0" xfId="56" applyNumberFormat="1" applyFont="1" applyBorder="1" applyAlignment="1" applyProtection="1">
      <alignment vertical="center"/>
      <protection hidden="1"/>
    </xf>
    <xf numFmtId="0" fontId="14" fillId="0" borderId="0" xfId="56" applyFont="1" applyAlignment="1" applyProtection="1">
      <alignment vertical="center" wrapText="1"/>
      <protection hidden="1"/>
    </xf>
    <xf numFmtId="0" fontId="2" fillId="0" borderId="0" xfId="56" applyFont="1" applyAlignment="1" applyProtection="1">
      <alignment vertical="center" wrapText="1"/>
      <protection hidden="1"/>
    </xf>
    <xf numFmtId="0" fontId="5" fillId="0" borderId="0" xfId="56" applyFont="1" applyBorder="1" applyAlignment="1" applyProtection="1">
      <alignment vertical="center" wrapText="1"/>
      <protection hidden="1"/>
    </xf>
    <xf numFmtId="0" fontId="2" fillId="0" borderId="18" xfId="56" applyBorder="1" applyAlignment="1" applyProtection="1">
      <alignment horizontal="center" vertical="center"/>
      <protection hidden="1"/>
    </xf>
    <xf numFmtId="0" fontId="2" fillId="0" borderId="19" xfId="56" applyBorder="1" applyAlignment="1" applyProtection="1">
      <alignment horizontal="center" vertical="center"/>
      <protection hidden="1"/>
    </xf>
    <xf numFmtId="0" fontId="2" fillId="0" borderId="20" xfId="56" applyBorder="1" applyAlignment="1" applyProtection="1">
      <alignment vertical="center"/>
      <protection hidden="1"/>
    </xf>
    <xf numFmtId="0" fontId="10" fillId="0" borderId="0" xfId="56" applyFont="1" applyBorder="1" applyAlignment="1" applyProtection="1">
      <alignment textRotation="90"/>
      <protection hidden="1"/>
    </xf>
    <xf numFmtId="0" fontId="2" fillId="0" borderId="0" xfId="56" applyBorder="1" applyAlignment="1" applyProtection="1">
      <alignment horizontal="left"/>
      <protection hidden="1"/>
    </xf>
    <xf numFmtId="0" fontId="9" fillId="0" borderId="17" xfId="56" applyFont="1" applyBorder="1" applyAlignment="1" applyProtection="1">
      <alignment vertical="center"/>
      <protection hidden="1"/>
    </xf>
    <xf numFmtId="0" fontId="2" fillId="0" borderId="21" xfId="56" applyBorder="1" applyAlignment="1" applyProtection="1">
      <alignment vertical="center"/>
      <protection hidden="1"/>
    </xf>
    <xf numFmtId="0" fontId="8" fillId="0" borderId="17" xfId="56" applyFont="1" applyBorder="1" applyAlignment="1" applyProtection="1">
      <alignment vertical="center"/>
      <protection hidden="1"/>
    </xf>
    <xf numFmtId="49" fontId="2" fillId="0" borderId="0" xfId="56" applyNumberFormat="1" applyFont="1" applyBorder="1" applyAlignment="1" applyProtection="1">
      <alignment vertical="center"/>
      <protection hidden="1"/>
    </xf>
    <xf numFmtId="0" fontId="2" fillId="0" borderId="0" xfId="56" applyBorder="1" applyAlignment="1" applyProtection="1">
      <alignment/>
      <protection hidden="1"/>
    </xf>
    <xf numFmtId="0" fontId="2" fillId="0" borderId="0" xfId="56" applyFont="1" applyBorder="1" applyAlignment="1" applyProtection="1">
      <alignment/>
      <protection hidden="1"/>
    </xf>
    <xf numFmtId="0" fontId="2" fillId="0" borderId="19" xfId="56" applyFont="1" applyBorder="1" applyAlignment="1" applyProtection="1">
      <alignment horizontal="center" vertical="center"/>
      <protection hidden="1"/>
    </xf>
    <xf numFmtId="0" fontId="10" fillId="0" borderId="16" xfId="56" applyFont="1" applyBorder="1" applyAlignment="1" applyProtection="1">
      <alignment textRotation="90"/>
      <protection hidden="1"/>
    </xf>
    <xf numFmtId="0" fontId="14" fillId="0" borderId="12" xfId="56" applyFont="1" applyBorder="1" applyAlignment="1" applyProtection="1">
      <alignment vertical="center" wrapText="1"/>
      <protection hidden="1"/>
    </xf>
    <xf numFmtId="0" fontId="2" fillId="0" borderId="12" xfId="56" applyFont="1" applyBorder="1" applyAlignment="1" applyProtection="1">
      <alignment vertical="center" wrapText="1"/>
      <protection hidden="1"/>
    </xf>
    <xf numFmtId="0" fontId="2" fillId="0" borderId="22" xfId="56" applyBorder="1" applyAlignment="1" applyProtection="1">
      <alignment horizontal="center" vertical="center"/>
      <protection hidden="1"/>
    </xf>
    <xf numFmtId="0" fontId="2" fillId="0" borderId="22" xfId="56" applyFill="1" applyBorder="1" applyAlignment="1" applyProtection="1">
      <alignment horizontal="center" vertical="center" wrapText="1"/>
      <protection hidden="1"/>
    </xf>
    <xf numFmtId="0" fontId="15" fillId="0" borderId="0" xfId="56" applyFont="1" applyBorder="1" applyAlignment="1" applyProtection="1">
      <alignment vertical="top" wrapText="1"/>
      <protection hidden="1"/>
    </xf>
    <xf numFmtId="0" fontId="11" fillId="0" borderId="0" xfId="56" applyFont="1" applyBorder="1" applyAlignment="1" applyProtection="1">
      <alignment vertical="center"/>
      <protection hidden="1"/>
    </xf>
    <xf numFmtId="0" fontId="18" fillId="0" borderId="0" xfId="56" applyFont="1" applyBorder="1" applyAlignment="1" applyProtection="1">
      <alignment/>
      <protection hidden="1"/>
    </xf>
    <xf numFmtId="0" fontId="18" fillId="0" borderId="23" xfId="56" applyFont="1" applyBorder="1" applyAlignment="1" applyProtection="1">
      <alignment/>
      <protection hidden="1"/>
    </xf>
    <xf numFmtId="0" fontId="18" fillId="0" borderId="23" xfId="56" applyFont="1" applyBorder="1" applyProtection="1">
      <alignment/>
      <protection hidden="1"/>
    </xf>
    <xf numFmtId="0" fontId="2" fillId="0" borderId="11" xfId="56" applyFont="1" applyBorder="1" applyAlignment="1" applyProtection="1">
      <alignment horizontal="center" vertical="center" wrapText="1"/>
      <protection hidden="1"/>
    </xf>
    <xf numFmtId="0" fontId="4" fillId="0" borderId="0" xfId="56" applyFont="1" applyBorder="1" applyAlignment="1" applyProtection="1">
      <alignment vertical="center"/>
      <protection hidden="1"/>
    </xf>
    <xf numFmtId="0" fontId="2" fillId="0" borderId="24" xfId="56" applyBorder="1" applyAlignment="1" applyProtection="1">
      <alignment horizontal="center" vertical="center"/>
      <protection hidden="1"/>
    </xf>
    <xf numFmtId="1" fontId="2" fillId="0" borderId="0" xfId="56" applyNumberFormat="1" applyBorder="1" applyAlignment="1" applyProtection="1">
      <alignment horizontal="left"/>
      <protection hidden="1"/>
    </xf>
    <xf numFmtId="49" fontId="2" fillId="0" borderId="0" xfId="56" applyNumberFormat="1" applyAlignment="1" applyProtection="1">
      <alignment vertical="center"/>
      <protection hidden="1"/>
    </xf>
    <xf numFmtId="0" fontId="2" fillId="0" borderId="0" xfId="56" applyNumberFormat="1" applyAlignment="1" applyProtection="1">
      <alignment vertical="center"/>
      <protection hidden="1"/>
    </xf>
    <xf numFmtId="0" fontId="2" fillId="0" borderId="0" xfId="57" applyProtection="1">
      <alignment/>
      <protection hidden="1"/>
    </xf>
    <xf numFmtId="0" fontId="24" fillId="33" borderId="25" xfId="56" applyFont="1" applyFill="1" applyBorder="1" applyAlignment="1" applyProtection="1">
      <alignment horizontal="left" vertical="center"/>
      <protection/>
    </xf>
    <xf numFmtId="0" fontId="24" fillId="33" borderId="25" xfId="56" applyFont="1" applyFill="1" applyBorder="1" applyAlignment="1" applyProtection="1">
      <alignment horizontal="center" vertical="center"/>
      <protection/>
    </xf>
    <xf numFmtId="0" fontId="2" fillId="0" borderId="0" xfId="57" applyAlignment="1" applyProtection="1">
      <alignment horizontal="left" vertical="center"/>
      <protection hidden="1"/>
    </xf>
    <xf numFmtId="0" fontId="2" fillId="0" borderId="13" xfId="57" applyBorder="1" applyAlignment="1" applyProtection="1">
      <alignment horizontal="center" vertical="center"/>
      <protection hidden="1"/>
    </xf>
    <xf numFmtId="0" fontId="2" fillId="0" borderId="21" xfId="57" applyBorder="1" applyAlignment="1" applyProtection="1">
      <alignment horizontal="left" vertical="center"/>
      <protection hidden="1"/>
    </xf>
    <xf numFmtId="0" fontId="2" fillId="0" borderId="17" xfId="57" applyBorder="1" applyAlignment="1" applyProtection="1">
      <alignment horizontal="left" vertical="center"/>
      <protection hidden="1"/>
    </xf>
    <xf numFmtId="0" fontId="2" fillId="0" borderId="11" xfId="57" applyFont="1" applyBorder="1" applyAlignment="1" applyProtection="1">
      <alignment vertical="center"/>
      <protection hidden="1"/>
    </xf>
    <xf numFmtId="0" fontId="2" fillId="0" borderId="0" xfId="57" applyBorder="1" applyAlignment="1" applyProtection="1">
      <alignment horizontal="left" vertical="center"/>
      <protection hidden="1"/>
    </xf>
    <xf numFmtId="0" fontId="2" fillId="0" borderId="12" xfId="57" applyBorder="1" applyAlignment="1" applyProtection="1">
      <alignment horizontal="left" vertical="center"/>
      <protection hidden="1"/>
    </xf>
    <xf numFmtId="0" fontId="2" fillId="0" borderId="11" xfId="57" applyBorder="1" applyAlignment="1" applyProtection="1">
      <alignment vertical="center"/>
      <protection hidden="1"/>
    </xf>
    <xf numFmtId="0" fontId="2" fillId="0" borderId="16" xfId="57" applyBorder="1" applyAlignment="1" applyProtection="1">
      <alignment horizontal="left" vertical="center"/>
      <protection hidden="1"/>
    </xf>
    <xf numFmtId="0" fontId="2" fillId="0" borderId="15" xfId="57" applyBorder="1" applyAlignment="1" applyProtection="1">
      <alignment horizontal="left" vertical="center"/>
      <protection hidden="1"/>
    </xf>
    <xf numFmtId="0" fontId="2" fillId="0" borderId="20" xfId="57" applyBorder="1" applyAlignment="1" applyProtection="1">
      <alignment horizontal="left" vertical="center"/>
      <protection hidden="1"/>
    </xf>
    <xf numFmtId="0" fontId="2" fillId="0" borderId="22" xfId="57" applyBorder="1" applyAlignment="1" applyProtection="1">
      <alignment horizontal="center" vertical="center"/>
      <protection hidden="1"/>
    </xf>
    <xf numFmtId="0" fontId="2" fillId="0" borderId="0" xfId="57" applyBorder="1" applyAlignment="1" applyProtection="1">
      <alignment horizontal="center" vertical="center"/>
      <protection hidden="1"/>
    </xf>
    <xf numFmtId="0" fontId="31" fillId="0" borderId="23" xfId="57" applyFont="1" applyBorder="1" applyProtection="1">
      <alignment/>
      <protection hidden="1"/>
    </xf>
    <xf numFmtId="0" fontId="2" fillId="0" borderId="23" xfId="57" applyBorder="1" applyProtection="1">
      <alignment/>
      <protection hidden="1"/>
    </xf>
    <xf numFmtId="49" fontId="32" fillId="0" borderId="23" xfId="57" applyNumberFormat="1" applyFont="1" applyBorder="1" applyAlignment="1" applyProtection="1">
      <alignment horizontal="right"/>
      <protection hidden="1"/>
    </xf>
    <xf numFmtId="184" fontId="32" fillId="0" borderId="23" xfId="57" applyNumberFormat="1" applyFont="1" applyBorder="1" applyAlignment="1" applyProtection="1">
      <alignment horizontal="left"/>
      <protection hidden="1"/>
    </xf>
    <xf numFmtId="2" fontId="8" fillId="0" borderId="0" xfId="57" applyNumberFormat="1" applyFont="1" applyBorder="1" applyAlignment="1" applyProtection="1">
      <alignment horizontal="center"/>
      <protection hidden="1"/>
    </xf>
    <xf numFmtId="0" fontId="2" fillId="0" borderId="0" xfId="56" applyAlignment="1" applyProtection="1">
      <alignment horizontal="right" vertical="center"/>
      <protection hidden="1"/>
    </xf>
    <xf numFmtId="172" fontId="2" fillId="0" borderId="0" xfId="61" applyNumberFormat="1" applyAlignment="1" applyProtection="1">
      <alignment horizontal="left"/>
      <protection hidden="1" locked="0"/>
    </xf>
    <xf numFmtId="0" fontId="0" fillId="0" borderId="0" xfId="0" applyAlignment="1" applyProtection="1">
      <alignment/>
      <protection hidden="1"/>
    </xf>
    <xf numFmtId="0" fontId="114" fillId="0" borderId="26" xfId="0" applyFont="1" applyBorder="1" applyAlignment="1" applyProtection="1">
      <alignment horizontal="center"/>
      <protection hidden="1"/>
    </xf>
    <xf numFmtId="0" fontId="115" fillId="0" borderId="27" xfId="0" applyFont="1" applyBorder="1" applyAlignment="1" applyProtection="1">
      <alignment horizontal="left" vertical="top" wrapText="1"/>
      <protection hidden="1"/>
    </xf>
    <xf numFmtId="0" fontId="0" fillId="0" borderId="0" xfId="0" applyAlignment="1" applyProtection="1">
      <alignment horizontal="center" vertical="center"/>
      <protection hidden="1"/>
    </xf>
    <xf numFmtId="0" fontId="0" fillId="0" borderId="0" xfId="0" applyBorder="1" applyAlignment="1" applyProtection="1">
      <alignment/>
      <protection hidden="1"/>
    </xf>
    <xf numFmtId="0" fontId="115" fillId="0" borderId="27" xfId="0" applyFont="1" applyBorder="1" applyAlignment="1" applyProtection="1">
      <alignment horizontal="center" vertical="top"/>
      <protection hidden="1"/>
    </xf>
    <xf numFmtId="2" fontId="0" fillId="0" borderId="13" xfId="0" applyNumberFormat="1" applyBorder="1" applyAlignment="1" applyProtection="1">
      <alignment horizontal="center"/>
      <protection hidden="1"/>
    </xf>
    <xf numFmtId="0" fontId="116" fillId="0" borderId="27" xfId="0" applyFont="1" applyBorder="1" applyAlignment="1" applyProtection="1">
      <alignment horizontal="center" vertical="top"/>
      <protection hidden="1"/>
    </xf>
    <xf numFmtId="0" fontId="116" fillId="0" borderId="27" xfId="0" applyFont="1" applyBorder="1" applyAlignment="1" applyProtection="1">
      <alignment horizontal="left" vertical="top"/>
      <protection hidden="1"/>
    </xf>
    <xf numFmtId="0" fontId="117" fillId="0" borderId="0" xfId="0" applyFont="1" applyAlignment="1" applyProtection="1">
      <alignment horizontal="left"/>
      <protection hidden="1"/>
    </xf>
    <xf numFmtId="0" fontId="0" fillId="0" borderId="13" xfId="0" applyBorder="1" applyAlignment="1" applyProtection="1">
      <alignment/>
      <protection hidden="1"/>
    </xf>
    <xf numFmtId="172" fontId="0" fillId="0" borderId="13" xfId="0" applyNumberFormat="1" applyBorder="1" applyAlignment="1" applyProtection="1">
      <alignment horizontal="center"/>
      <protection hidden="1"/>
    </xf>
    <xf numFmtId="0" fontId="0" fillId="0" borderId="13" xfId="0" applyBorder="1" applyAlignment="1" applyProtection="1">
      <alignment horizontal="center"/>
      <protection hidden="1"/>
    </xf>
    <xf numFmtId="14" fontId="0" fillId="0" borderId="0" xfId="0" applyNumberFormat="1"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right" vertical="center"/>
      <protection hidden="1"/>
    </xf>
    <xf numFmtId="0" fontId="0" fillId="0" borderId="0" xfId="0" applyAlignment="1" applyProtection="1">
      <alignment vertical="center"/>
      <protection hidden="1"/>
    </xf>
    <xf numFmtId="0" fontId="0" fillId="0" borderId="0" xfId="0" applyFill="1" applyBorder="1" applyAlignment="1" applyProtection="1">
      <alignment horizontal="center"/>
      <protection hidden="1"/>
    </xf>
    <xf numFmtId="0" fontId="113" fillId="0" borderId="0" xfId="0" applyFont="1" applyAlignment="1" applyProtection="1">
      <alignment horizontal="center" vertical="center"/>
      <protection hidden="1"/>
    </xf>
    <xf numFmtId="0" fontId="0" fillId="0" borderId="0" xfId="0" applyAlignment="1" applyProtection="1">
      <alignment horizontal="center" vertical="center" wrapText="1"/>
      <protection hidden="1"/>
    </xf>
    <xf numFmtId="0" fontId="115" fillId="0" borderId="27" xfId="0" applyFont="1" applyBorder="1" applyAlignment="1" applyProtection="1">
      <alignment horizontal="center" vertical="center"/>
      <protection hidden="1"/>
    </xf>
    <xf numFmtId="2" fontId="0" fillId="0" borderId="13" xfId="0" applyNumberFormat="1" applyBorder="1" applyAlignment="1" applyProtection="1">
      <alignment horizontal="center" vertical="center"/>
      <protection hidden="1"/>
    </xf>
    <xf numFmtId="179" fontId="0" fillId="0" borderId="19" xfId="0" applyNumberFormat="1" applyBorder="1" applyAlignment="1" applyProtection="1">
      <alignment horizontal="center" vertical="center"/>
      <protection hidden="1"/>
    </xf>
    <xf numFmtId="179" fontId="0" fillId="0" borderId="19" xfId="0" applyNumberFormat="1" applyBorder="1" applyAlignment="1" applyProtection="1">
      <alignment horizontal="center" vertical="center" wrapText="1"/>
      <protection hidden="1"/>
    </xf>
    <xf numFmtId="2" fontId="0" fillId="0" borderId="13" xfId="0" applyNumberFormat="1" applyBorder="1" applyAlignment="1" applyProtection="1">
      <alignment horizontal="right" indent="1"/>
      <protection hidden="1"/>
    </xf>
    <xf numFmtId="0" fontId="0" fillId="0" borderId="13" xfId="0" applyBorder="1" applyAlignment="1" applyProtection="1">
      <alignment horizontal="right" indent="4"/>
      <protection hidden="1"/>
    </xf>
    <xf numFmtId="2" fontId="0" fillId="0" borderId="0" xfId="0" applyNumberFormat="1" applyBorder="1" applyAlignment="1" applyProtection="1">
      <alignment horizontal="right" indent="1"/>
      <protection hidden="1"/>
    </xf>
    <xf numFmtId="2" fontId="0" fillId="0" borderId="20" xfId="0" applyNumberFormat="1" applyBorder="1" applyAlignment="1" applyProtection="1">
      <alignment horizontal="right" indent="1"/>
      <protection hidden="1"/>
    </xf>
    <xf numFmtId="177" fontId="0" fillId="0" borderId="0" xfId="0" applyNumberFormat="1" applyAlignment="1" applyProtection="1">
      <alignment/>
      <protection hidden="1"/>
    </xf>
    <xf numFmtId="49" fontId="0" fillId="0" borderId="0" xfId="0" applyNumberFormat="1" applyAlignment="1" applyProtection="1">
      <alignment horizontal="center" vertical="top" wrapText="1"/>
      <protection hidden="1"/>
    </xf>
    <xf numFmtId="49" fontId="0" fillId="0" borderId="0" xfId="0" applyNumberFormat="1" applyAlignment="1" applyProtection="1">
      <alignment horizontal="center"/>
      <protection hidden="1"/>
    </xf>
    <xf numFmtId="0" fontId="118" fillId="0" borderId="0" xfId="0" applyFont="1" applyAlignment="1" applyProtection="1">
      <alignment vertical="center"/>
      <protection hidden="1"/>
    </xf>
    <xf numFmtId="0" fontId="19" fillId="0" borderId="27" xfId="0" applyFont="1" applyBorder="1" applyAlignment="1" applyProtection="1">
      <alignment horizontal="left" vertical="top" wrapText="1"/>
      <protection hidden="1"/>
    </xf>
    <xf numFmtId="0" fontId="119" fillId="0" borderId="27" xfId="0" applyFont="1" applyBorder="1" applyAlignment="1" applyProtection="1">
      <alignment horizontal="center" vertical="top"/>
      <protection hidden="1"/>
    </xf>
    <xf numFmtId="0" fontId="0" fillId="0" borderId="28" xfId="0" applyBorder="1" applyAlignment="1" applyProtection="1">
      <alignment horizontal="left" vertical="top"/>
      <protection hidden="1"/>
    </xf>
    <xf numFmtId="0" fontId="0" fillId="0" borderId="28" xfId="0" applyBorder="1" applyAlignment="1" applyProtection="1">
      <alignment horizontal="center" vertical="top" wrapText="1"/>
      <protection hidden="1"/>
    </xf>
    <xf numFmtId="0" fontId="0" fillId="0" borderId="28" xfId="0" applyBorder="1" applyAlignment="1" applyProtection="1">
      <alignment horizontal="center" vertical="top"/>
      <protection hidden="1"/>
    </xf>
    <xf numFmtId="0" fontId="0" fillId="0" borderId="28" xfId="0" applyBorder="1" applyAlignment="1" applyProtection="1">
      <alignment vertical="top" wrapText="1"/>
      <protection hidden="1"/>
    </xf>
    <xf numFmtId="0" fontId="0" fillId="0" borderId="13" xfId="0" applyBorder="1" applyAlignment="1" applyProtection="1">
      <alignment horizontal="left" vertical="top"/>
      <protection hidden="1"/>
    </xf>
    <xf numFmtId="0" fontId="119" fillId="0" borderId="13" xfId="0" applyFont="1" applyBorder="1" applyAlignment="1" applyProtection="1">
      <alignment horizontal="center" vertical="top"/>
      <protection hidden="1"/>
    </xf>
    <xf numFmtId="2" fontId="0" fillId="0" borderId="13" xfId="0" applyNumberFormat="1" applyBorder="1" applyAlignment="1" applyProtection="1">
      <alignment horizontal="center" vertical="top"/>
      <protection hidden="1"/>
    </xf>
    <xf numFmtId="0" fontId="0" fillId="0" borderId="17" xfId="0" applyBorder="1" applyAlignment="1" applyProtection="1">
      <alignment/>
      <protection hidden="1"/>
    </xf>
    <xf numFmtId="0" fontId="0" fillId="0" borderId="29" xfId="0" applyBorder="1" applyAlignment="1" applyProtection="1">
      <alignment/>
      <protection hidden="1"/>
    </xf>
    <xf numFmtId="0" fontId="0" fillId="0" borderId="16" xfId="0" applyBorder="1" applyAlignment="1" applyProtection="1">
      <alignment/>
      <protection hidden="1"/>
    </xf>
    <xf numFmtId="0" fontId="2" fillId="0" borderId="0" xfId="61" applyProtection="1">
      <alignment/>
      <protection hidden="1"/>
    </xf>
    <xf numFmtId="0" fontId="34" fillId="0" borderId="0" xfId="61" applyFont="1" applyAlignment="1" applyProtection="1">
      <alignment horizontal="left"/>
      <protection hidden="1"/>
    </xf>
    <xf numFmtId="0" fontId="2" fillId="0" borderId="0" xfId="61" applyAlignment="1" applyProtection="1">
      <alignment horizontal="right"/>
      <protection hidden="1"/>
    </xf>
    <xf numFmtId="0" fontId="34" fillId="0" borderId="0" xfId="61" applyFont="1" applyAlignment="1" applyProtection="1">
      <alignment horizontal="right" vertical="top"/>
      <protection hidden="1"/>
    </xf>
    <xf numFmtId="0" fontId="115" fillId="0" borderId="0" xfId="61" applyFont="1" applyAlignment="1" applyProtection="1">
      <alignment horizontal="left" vertical="top"/>
      <protection hidden="1"/>
    </xf>
    <xf numFmtId="0" fontId="120" fillId="0" borderId="0" xfId="61" applyFont="1" applyProtection="1">
      <alignment/>
      <protection hidden="1"/>
    </xf>
    <xf numFmtId="0" fontId="34" fillId="0" borderId="0" xfId="61" applyFont="1" applyProtection="1">
      <alignment/>
      <protection hidden="1"/>
    </xf>
    <xf numFmtId="0" fontId="121" fillId="0" borderId="0" xfId="61" applyFont="1" applyAlignment="1" applyProtection="1">
      <alignment vertical="top"/>
      <protection hidden="1"/>
    </xf>
    <xf numFmtId="0" fontId="34" fillId="0" borderId="0" xfId="61" applyFont="1" applyBorder="1" applyAlignment="1" applyProtection="1">
      <alignment horizontal="justify" vertical="top" wrapText="1"/>
      <protection hidden="1"/>
    </xf>
    <xf numFmtId="0" fontId="2" fillId="0" borderId="0" xfId="61" applyBorder="1" applyProtection="1">
      <alignment/>
      <protection hidden="1"/>
    </xf>
    <xf numFmtId="0" fontId="36" fillId="0" borderId="0" xfId="61" applyFont="1" applyBorder="1" applyAlignment="1" applyProtection="1">
      <alignment vertical="top" wrapText="1"/>
      <protection hidden="1"/>
    </xf>
    <xf numFmtId="2" fontId="36" fillId="0" borderId="0" xfId="61" applyNumberFormat="1" applyFont="1" applyBorder="1" applyAlignment="1" applyProtection="1">
      <alignment horizontal="right" vertical="top" wrapText="1" indent="1"/>
      <protection hidden="1"/>
    </xf>
    <xf numFmtId="0" fontId="11" fillId="0" borderId="0" xfId="61" applyFont="1" applyProtection="1">
      <alignment/>
      <protection hidden="1"/>
    </xf>
    <xf numFmtId="0" fontId="2" fillId="0" borderId="0" xfId="61" applyFont="1" applyProtection="1">
      <alignment/>
      <protection hidden="1"/>
    </xf>
    <xf numFmtId="0" fontId="0" fillId="0" borderId="0" xfId="0" applyAlignment="1" applyProtection="1">
      <alignment/>
      <protection/>
    </xf>
    <xf numFmtId="49" fontId="0" fillId="0" borderId="0" xfId="0" applyNumberFormat="1" applyAlignment="1" applyProtection="1">
      <alignment/>
      <protection/>
    </xf>
    <xf numFmtId="2" fontId="0" fillId="0" borderId="0" xfId="0" applyNumberFormat="1" applyAlignment="1" applyProtection="1">
      <alignment horizontal="right" indent="3"/>
      <protection hidden="1" locked="0"/>
    </xf>
    <xf numFmtId="172" fontId="0" fillId="0" borderId="0" xfId="0" applyNumberFormat="1" applyAlignment="1" applyProtection="1">
      <alignment horizontal="center" vertical="center"/>
      <protection hidden="1" locked="0"/>
    </xf>
    <xf numFmtId="0" fontId="0" fillId="0" borderId="0" xfId="0" applyAlignment="1" applyProtection="1">
      <alignment horizontal="left" vertical="center"/>
      <protection hidden="1" locked="0"/>
    </xf>
    <xf numFmtId="0" fontId="0" fillId="0" borderId="0" xfId="0" applyAlignment="1" applyProtection="1">
      <alignment horizontal="center"/>
      <protection hidden="1" locked="0"/>
    </xf>
    <xf numFmtId="0" fontId="0" fillId="0" borderId="0" xfId="0" applyAlignment="1" applyProtection="1">
      <alignment horizontal="center" vertical="center"/>
      <protection hidden="1" locked="0"/>
    </xf>
    <xf numFmtId="172" fontId="0" fillId="0" borderId="0" xfId="0" applyNumberFormat="1" applyBorder="1" applyAlignment="1" applyProtection="1">
      <alignment horizontal="left"/>
      <protection hidden="1" locked="0"/>
    </xf>
    <xf numFmtId="0" fontId="0" fillId="0" borderId="0" xfId="0" applyBorder="1" applyAlignment="1" applyProtection="1">
      <alignment horizontal="left"/>
      <protection hidden="1" locked="0"/>
    </xf>
    <xf numFmtId="0" fontId="2" fillId="0" borderId="0" xfId="61" applyNumberFormat="1" applyProtection="1">
      <alignment/>
      <protection hidden="1" locked="0"/>
    </xf>
    <xf numFmtId="2" fontId="34" fillId="0" borderId="0" xfId="61" applyNumberFormat="1" applyFont="1" applyBorder="1" applyAlignment="1" applyProtection="1">
      <alignment horizontal="right" vertical="top" wrapText="1" indent="1"/>
      <protection hidden="1" locked="0"/>
    </xf>
    <xf numFmtId="0" fontId="2" fillId="0" borderId="13" xfId="56" applyBorder="1" applyAlignment="1" applyProtection="1">
      <alignment horizontal="center" vertical="center"/>
      <protection hidden="1" locked="0"/>
    </xf>
    <xf numFmtId="174" fontId="6" fillId="0" borderId="0" xfId="56" applyNumberFormat="1" applyFont="1" applyBorder="1" applyAlignment="1" applyProtection="1">
      <alignment vertical="center"/>
      <protection hidden="1" locked="0"/>
    </xf>
    <xf numFmtId="175" fontId="2" fillId="0" borderId="13" xfId="56" applyNumberFormat="1" applyFont="1" applyBorder="1" applyAlignment="1" applyProtection="1">
      <alignment horizontal="center" vertical="center"/>
      <protection hidden="1" locked="0"/>
    </xf>
    <xf numFmtId="0" fontId="2" fillId="0" borderId="13" xfId="56" applyFont="1" applyBorder="1" applyAlignment="1" applyProtection="1">
      <alignment horizontal="center" vertical="center"/>
      <protection hidden="1" locked="0"/>
    </xf>
    <xf numFmtId="0" fontId="0" fillId="0" borderId="30" xfId="0" applyBorder="1" applyAlignment="1" applyProtection="1">
      <alignment horizontal="center" vertical="top"/>
      <protection hidden="1" locked="0"/>
    </xf>
    <xf numFmtId="0" fontId="0" fillId="0" borderId="30" xfId="0" applyBorder="1" applyAlignment="1" applyProtection="1">
      <alignment horizontal="left" vertical="top"/>
      <protection hidden="1" locked="0"/>
    </xf>
    <xf numFmtId="2" fontId="0" fillId="0" borderId="30" xfId="0" applyNumberFormat="1" applyBorder="1" applyAlignment="1" applyProtection="1">
      <alignment horizontal="center" vertical="top"/>
      <protection hidden="1" locked="0"/>
    </xf>
    <xf numFmtId="0" fontId="0" fillId="0" borderId="28" xfId="0" applyBorder="1" applyAlignment="1" applyProtection="1">
      <alignment horizontal="center" vertical="top"/>
      <protection hidden="1" locked="0"/>
    </xf>
    <xf numFmtId="0" fontId="0" fillId="0" borderId="28" xfId="0" applyBorder="1" applyAlignment="1" applyProtection="1">
      <alignment horizontal="left" vertical="top"/>
      <protection hidden="1" locked="0"/>
    </xf>
    <xf numFmtId="0" fontId="0" fillId="0" borderId="13" xfId="0" applyBorder="1" applyAlignment="1" applyProtection="1">
      <alignment horizontal="right" indent="2"/>
      <protection hidden="1"/>
    </xf>
    <xf numFmtId="0" fontId="112" fillId="0" borderId="13" xfId="0" applyFont="1" applyBorder="1" applyAlignment="1" applyProtection="1">
      <alignment horizontal="right" indent="2"/>
      <protection hidden="1"/>
    </xf>
    <xf numFmtId="0" fontId="122" fillId="0" borderId="13" xfId="0" applyFont="1" applyBorder="1" applyAlignment="1" applyProtection="1">
      <alignment horizontal="center" vertical="center"/>
      <protection hidden="1"/>
    </xf>
    <xf numFmtId="0" fontId="122" fillId="0" borderId="13" xfId="0" applyFont="1" applyBorder="1" applyAlignment="1" applyProtection="1">
      <alignment horizontal="center" vertical="center" wrapText="1"/>
      <protection hidden="1"/>
    </xf>
    <xf numFmtId="0" fontId="122" fillId="0" borderId="13" xfId="0" applyFont="1" applyFill="1" applyBorder="1" applyAlignment="1" applyProtection="1">
      <alignment horizontal="center" vertical="center"/>
      <protection hidden="1"/>
    </xf>
    <xf numFmtId="0" fontId="122" fillId="0" borderId="13" xfId="0" applyFont="1" applyFill="1" applyBorder="1" applyAlignment="1" applyProtection="1">
      <alignment horizontal="center" vertical="center" wrapText="1"/>
      <protection hidden="1"/>
    </xf>
    <xf numFmtId="0" fontId="122" fillId="0" borderId="0" xfId="0" applyFont="1" applyAlignment="1" applyProtection="1">
      <alignment/>
      <protection hidden="1"/>
    </xf>
    <xf numFmtId="0" fontId="122" fillId="0" borderId="13" xfId="0" applyFont="1" applyBorder="1" applyAlignment="1" applyProtection="1">
      <alignment/>
      <protection hidden="1"/>
    </xf>
    <xf numFmtId="0" fontId="122" fillId="0" borderId="13" xfId="0" applyFont="1" applyFill="1" applyBorder="1" applyAlignment="1" applyProtection="1">
      <alignment/>
      <protection hidden="1"/>
    </xf>
    <xf numFmtId="0" fontId="123" fillId="0" borderId="27" xfId="0" applyFont="1" applyBorder="1" applyAlignment="1" applyProtection="1">
      <alignment horizontal="center" vertical="top"/>
      <protection hidden="1"/>
    </xf>
    <xf numFmtId="2" fontId="122" fillId="0" borderId="13" xfId="0" applyNumberFormat="1" applyFont="1" applyBorder="1" applyAlignment="1" applyProtection="1">
      <alignment horizontal="center"/>
      <protection hidden="1"/>
    </xf>
    <xf numFmtId="0" fontId="122" fillId="0" borderId="18" xfId="0" applyFont="1" applyBorder="1" applyAlignment="1" applyProtection="1">
      <alignment horizontal="center" vertical="center"/>
      <protection hidden="1"/>
    </xf>
    <xf numFmtId="0" fontId="122" fillId="0" borderId="18" xfId="0" applyFont="1" applyBorder="1" applyAlignment="1" applyProtection="1">
      <alignment horizontal="center" vertical="center" wrapText="1"/>
      <protection hidden="1"/>
    </xf>
    <xf numFmtId="0" fontId="122" fillId="0" borderId="0" xfId="0" applyFont="1" applyAlignment="1" applyProtection="1">
      <alignment horizontal="center" vertical="center"/>
      <protection hidden="1"/>
    </xf>
    <xf numFmtId="0" fontId="124" fillId="0" borderId="0" xfId="0" applyFont="1" applyAlignment="1" applyProtection="1">
      <alignment horizontal="center" vertical="center"/>
      <protection hidden="1"/>
    </xf>
    <xf numFmtId="0" fontId="122" fillId="0" borderId="0" xfId="0" applyFont="1" applyAlignment="1" applyProtection="1">
      <alignment horizontal="center" vertical="center" wrapText="1"/>
      <protection hidden="1"/>
    </xf>
    <xf numFmtId="0" fontId="122" fillId="0" borderId="0" xfId="0" applyFont="1" applyAlignment="1" applyProtection="1">
      <alignment vertical="center"/>
      <protection hidden="1"/>
    </xf>
    <xf numFmtId="0" fontId="34" fillId="0" borderId="13" xfId="61" applyFont="1" applyBorder="1" applyAlignment="1" applyProtection="1">
      <alignment horizontal="center" vertical="center" wrapText="1"/>
      <protection hidden="1"/>
    </xf>
    <xf numFmtId="0" fontId="2" fillId="0" borderId="0" xfId="61" applyAlignment="1" applyProtection="1">
      <alignment vertical="center"/>
      <protection hidden="1"/>
    </xf>
    <xf numFmtId="172" fontId="34" fillId="0" borderId="19" xfId="61" applyNumberFormat="1" applyFont="1" applyBorder="1" applyAlignment="1" applyProtection="1">
      <alignment horizontal="center" vertical="center" wrapText="1"/>
      <protection hidden="1" locked="0"/>
    </xf>
    <xf numFmtId="0" fontId="34" fillId="0" borderId="19" xfId="61" applyNumberFormat="1" applyFont="1" applyBorder="1" applyAlignment="1" applyProtection="1">
      <alignment horizontal="center" vertical="center" wrapText="1"/>
      <protection hidden="1" locked="0"/>
    </xf>
    <xf numFmtId="0" fontId="2" fillId="0" borderId="13" xfId="61" applyBorder="1" applyAlignment="1" applyProtection="1">
      <alignment horizontal="center" vertical="center"/>
      <protection hidden="1"/>
    </xf>
    <xf numFmtId="0" fontId="34" fillId="0" borderId="13" xfId="61" applyFont="1" applyBorder="1" applyAlignment="1" applyProtection="1">
      <alignment horizontal="center" vertical="center" wrapText="1"/>
      <protection hidden="1" locked="0"/>
    </xf>
    <xf numFmtId="172" fontId="34" fillId="0" borderId="13" xfId="61" applyNumberFormat="1" applyFont="1" applyBorder="1" applyAlignment="1" applyProtection="1">
      <alignment horizontal="center" vertical="center" wrapText="1"/>
      <protection hidden="1" locked="0"/>
    </xf>
    <xf numFmtId="0" fontId="34" fillId="0" borderId="13" xfId="61" applyNumberFormat="1" applyFont="1" applyBorder="1" applyAlignment="1" applyProtection="1">
      <alignment horizontal="center" vertical="center" wrapText="1"/>
      <protection hidden="1" locked="0"/>
    </xf>
    <xf numFmtId="0" fontId="2" fillId="0" borderId="13" xfId="61" applyFont="1" applyBorder="1" applyAlignment="1" applyProtection="1">
      <alignment horizontal="center" vertical="center" wrapText="1"/>
      <protection hidden="1"/>
    </xf>
    <xf numFmtId="0" fontId="2" fillId="0" borderId="0" xfId="61" applyAlignment="1" applyProtection="1">
      <alignment horizontal="center" vertical="center"/>
      <protection hidden="1"/>
    </xf>
    <xf numFmtId="0" fontId="114" fillId="0" borderId="0" xfId="0" applyFont="1" applyBorder="1" applyAlignment="1" applyProtection="1">
      <alignment horizontal="center"/>
      <protection hidden="1"/>
    </xf>
    <xf numFmtId="0" fontId="0" fillId="0" borderId="13" xfId="0" applyBorder="1" applyAlignment="1" applyProtection="1">
      <alignment horizontal="center"/>
      <protection hidden="1"/>
    </xf>
    <xf numFmtId="2" fontId="0" fillId="0" borderId="0" xfId="0" applyNumberFormat="1" applyBorder="1" applyAlignment="1" applyProtection="1">
      <alignment horizontal="right" indent="1"/>
      <protection hidden="1" locked="0"/>
    </xf>
    <xf numFmtId="0" fontId="38" fillId="33" borderId="25" xfId="56" applyFont="1" applyFill="1" applyBorder="1" applyAlignment="1" applyProtection="1">
      <alignment horizontal="left" vertical="center"/>
      <protection/>
    </xf>
    <xf numFmtId="2" fontId="2" fillId="0" borderId="0" xfId="57" applyNumberFormat="1" applyProtection="1">
      <alignment/>
      <protection hidden="1"/>
    </xf>
    <xf numFmtId="0" fontId="39" fillId="0" borderId="0" xfId="0" applyFont="1" applyAlignment="1" applyProtection="1">
      <alignment/>
      <protection locked="0"/>
    </xf>
    <xf numFmtId="0" fontId="40" fillId="0" borderId="0" xfId="0" applyFont="1" applyAlignment="1" applyProtection="1">
      <alignment/>
      <protection locked="0"/>
    </xf>
    <xf numFmtId="1" fontId="41" fillId="0" borderId="0" xfId="0" applyNumberFormat="1" applyFont="1" applyAlignment="1" applyProtection="1">
      <alignment/>
      <protection locked="0"/>
    </xf>
    <xf numFmtId="1" fontId="42" fillId="0" borderId="0" xfId="0" applyNumberFormat="1" applyFont="1" applyAlignment="1" applyProtection="1">
      <alignment/>
      <protection locked="0"/>
    </xf>
    <xf numFmtId="1" fontId="43" fillId="0" borderId="0" xfId="0" applyNumberFormat="1" applyFont="1" applyAlignment="1" applyProtection="1">
      <alignment/>
      <protection locked="0"/>
    </xf>
    <xf numFmtId="0" fontId="44" fillId="0" borderId="0" xfId="0" applyFont="1" applyAlignment="1" applyProtection="1">
      <alignment/>
      <protection locked="0"/>
    </xf>
    <xf numFmtId="0" fontId="45" fillId="0" borderId="0" xfId="0" applyFont="1" applyAlignment="1" applyProtection="1">
      <alignment/>
      <protection locked="0"/>
    </xf>
    <xf numFmtId="1" fontId="46" fillId="0" borderId="0" xfId="0" applyNumberFormat="1" applyFont="1" applyAlignment="1" applyProtection="1">
      <alignment/>
      <protection locked="0"/>
    </xf>
    <xf numFmtId="1" fontId="47" fillId="0" borderId="0" xfId="0" applyNumberFormat="1" applyFont="1" applyAlignment="1" applyProtection="1">
      <alignment/>
      <protection locked="0"/>
    </xf>
    <xf numFmtId="0" fontId="0" fillId="0" borderId="30" xfId="0" applyBorder="1" applyAlignment="1" applyProtection="1">
      <alignment horizontal="center" vertical="top" wrapText="1"/>
      <protection hidden="1" locked="0"/>
    </xf>
    <xf numFmtId="0" fontId="0" fillId="0" borderId="28" xfId="0" applyBorder="1" applyAlignment="1" applyProtection="1">
      <alignment horizontal="center" vertical="top" wrapText="1"/>
      <protection hidden="1" locked="0"/>
    </xf>
    <xf numFmtId="0" fontId="119" fillId="0" borderId="27" xfId="0" applyFont="1" applyBorder="1" applyAlignment="1" applyProtection="1">
      <alignment horizontal="left" vertical="top" wrapText="1"/>
      <protection hidden="1"/>
    </xf>
    <xf numFmtId="172" fontId="125" fillId="20" borderId="25" xfId="0" applyNumberFormat="1" applyFont="1" applyFill="1" applyBorder="1" applyAlignment="1" applyProtection="1">
      <alignment horizontal="center" vertical="center"/>
      <protection locked="0"/>
    </xf>
    <xf numFmtId="0" fontId="125" fillId="20" borderId="25" xfId="0" applyFont="1" applyFill="1" applyBorder="1" applyAlignment="1" applyProtection="1">
      <alignment horizontal="center" vertical="center"/>
      <protection locked="0"/>
    </xf>
    <xf numFmtId="188" fontId="0" fillId="0" borderId="0" xfId="0" applyNumberFormat="1" applyAlignment="1" applyProtection="1">
      <alignment/>
      <protection hidden="1"/>
    </xf>
    <xf numFmtId="2" fontId="0" fillId="0" borderId="0" xfId="0" applyNumberFormat="1" applyAlignment="1" applyProtection="1">
      <alignment/>
      <protection hidden="1"/>
    </xf>
    <xf numFmtId="1" fontId="0" fillId="0" borderId="0" xfId="0" applyNumberFormat="1" applyAlignment="1" applyProtection="1">
      <alignment/>
      <protection hidden="1"/>
    </xf>
    <xf numFmtId="49" fontId="2" fillId="0" borderId="0" xfId="56" applyNumberFormat="1" applyAlignment="1" applyProtection="1" quotePrefix="1">
      <alignment vertical="center"/>
      <protection hidden="1"/>
    </xf>
    <xf numFmtId="0" fontId="26" fillId="0" borderId="16" xfId="57" applyFont="1" applyBorder="1" applyAlignment="1" applyProtection="1">
      <alignment horizontal="left" vertical="center"/>
      <protection hidden="1"/>
    </xf>
    <xf numFmtId="0" fontId="49" fillId="0" borderId="16" xfId="57" applyFont="1" applyBorder="1" applyAlignment="1" applyProtection="1">
      <alignment horizontal="left"/>
      <protection hidden="1"/>
    </xf>
    <xf numFmtId="0" fontId="119" fillId="0" borderId="31" xfId="0" applyFont="1" applyBorder="1" applyAlignment="1" applyProtection="1">
      <alignment horizontal="left" vertical="top"/>
      <protection hidden="1"/>
    </xf>
    <xf numFmtId="0" fontId="119" fillId="0" borderId="32" xfId="0" applyFont="1" applyBorder="1" applyAlignment="1" applyProtection="1">
      <alignment horizontal="center" vertical="top"/>
      <protection hidden="1"/>
    </xf>
    <xf numFmtId="0" fontId="0" fillId="0" borderId="33" xfId="0" applyBorder="1" applyAlignment="1" applyProtection="1">
      <alignment horizontal="left" vertical="top"/>
      <protection hidden="1"/>
    </xf>
    <xf numFmtId="0" fontId="0" fillId="0" borderId="34" xfId="0" applyBorder="1" applyAlignment="1" applyProtection="1">
      <alignment horizontal="left" vertical="top"/>
      <protection hidden="1" locked="0"/>
    </xf>
    <xf numFmtId="0" fontId="0" fillId="0" borderId="35" xfId="0" applyBorder="1" applyAlignment="1" applyProtection="1">
      <alignment horizontal="left" vertical="top"/>
      <protection hidden="1"/>
    </xf>
    <xf numFmtId="0" fontId="0" fillId="0" borderId="36" xfId="0" applyBorder="1" applyAlignment="1" applyProtection="1">
      <alignment horizontal="left" vertical="top"/>
      <protection hidden="1" locked="0"/>
    </xf>
    <xf numFmtId="0" fontId="0" fillId="0" borderId="36" xfId="0" applyBorder="1" applyAlignment="1" applyProtection="1">
      <alignment vertical="top" wrapText="1"/>
      <protection hidden="1"/>
    </xf>
    <xf numFmtId="0" fontId="0" fillId="0" borderId="36" xfId="0" applyBorder="1" applyAlignment="1" applyProtection="1">
      <alignment horizontal="left" vertical="top"/>
      <protection hidden="1"/>
    </xf>
    <xf numFmtId="0" fontId="0" fillId="0" borderId="37" xfId="0" applyBorder="1" applyAlignment="1" applyProtection="1">
      <alignment horizontal="left" vertical="top"/>
      <protection hidden="1"/>
    </xf>
    <xf numFmtId="0" fontId="0" fillId="0" borderId="38" xfId="0" applyBorder="1" applyAlignment="1" applyProtection="1">
      <alignment horizontal="left" vertical="top"/>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118" fillId="0" borderId="0" xfId="0" applyFont="1" applyBorder="1" applyAlignment="1" applyProtection="1">
      <alignment/>
      <protection hidden="1"/>
    </xf>
    <xf numFmtId="0" fontId="0" fillId="0" borderId="41" xfId="0" applyBorder="1" applyAlignment="1" applyProtection="1">
      <alignment/>
      <protection hidden="1"/>
    </xf>
    <xf numFmtId="0" fontId="0" fillId="0" borderId="42" xfId="0" applyBorder="1" applyAlignment="1" applyProtection="1">
      <alignment/>
      <protection hidden="1"/>
    </xf>
    <xf numFmtId="0" fontId="0" fillId="0" borderId="43" xfId="0" applyBorder="1" applyAlignment="1" applyProtection="1">
      <alignment/>
      <protection hidden="1"/>
    </xf>
    <xf numFmtId="0" fontId="0" fillId="0" borderId="44" xfId="0" applyBorder="1" applyAlignment="1" applyProtection="1">
      <alignment/>
      <protection hidden="1"/>
    </xf>
    <xf numFmtId="0" fontId="2" fillId="0" borderId="45" xfId="56" applyBorder="1" applyAlignment="1" applyProtection="1">
      <alignment vertical="center"/>
      <protection hidden="1"/>
    </xf>
    <xf numFmtId="173" fontId="3" fillId="0" borderId="46" xfId="56" applyNumberFormat="1" applyFont="1" applyBorder="1" applyAlignment="1" applyProtection="1">
      <alignment vertical="center"/>
      <protection hidden="1"/>
    </xf>
    <xf numFmtId="0" fontId="2" fillId="0" borderId="46" xfId="56" applyBorder="1" applyAlignment="1" applyProtection="1">
      <alignment vertical="center"/>
      <protection hidden="1"/>
    </xf>
    <xf numFmtId="0" fontId="2" fillId="0" borderId="47" xfId="56" applyBorder="1" applyAlignment="1" applyProtection="1">
      <alignment vertical="center"/>
      <protection hidden="1"/>
    </xf>
    <xf numFmtId="0" fontId="2" fillId="0" borderId="39" xfId="56" applyBorder="1" applyAlignment="1" applyProtection="1">
      <alignment vertical="center"/>
      <protection hidden="1"/>
    </xf>
    <xf numFmtId="0" fontId="2" fillId="0" borderId="40" xfId="56" applyBorder="1" applyAlignment="1" applyProtection="1">
      <alignment vertical="center"/>
      <protection hidden="1"/>
    </xf>
    <xf numFmtId="0" fontId="4" fillId="0" borderId="0" xfId="56" applyFont="1" applyBorder="1" applyAlignment="1" applyProtection="1">
      <alignment horizontal="right" vertical="center"/>
      <protection hidden="1"/>
    </xf>
    <xf numFmtId="0" fontId="4" fillId="0" borderId="0" xfId="56" applyFont="1" applyBorder="1" applyAlignment="1" applyProtection="1">
      <alignment horizontal="center" vertical="center"/>
      <protection hidden="1"/>
    </xf>
    <xf numFmtId="0" fontId="2" fillId="0" borderId="48" xfId="56" applyBorder="1" applyAlignment="1" applyProtection="1">
      <alignment vertical="center"/>
      <protection hidden="1"/>
    </xf>
    <xf numFmtId="0" fontId="2" fillId="0" borderId="0" xfId="56" applyBorder="1" applyAlignment="1" applyProtection="1">
      <alignment horizontal="left" vertical="center"/>
      <protection hidden="1"/>
    </xf>
    <xf numFmtId="0" fontId="2" fillId="0" borderId="0" xfId="56" applyFont="1" applyBorder="1" applyAlignment="1" applyProtection="1">
      <alignment horizontal="left" vertical="center"/>
      <protection hidden="1"/>
    </xf>
    <xf numFmtId="0" fontId="2" fillId="0" borderId="44" xfId="56" applyBorder="1" applyAlignment="1" applyProtection="1">
      <alignment vertical="center"/>
      <protection hidden="1"/>
    </xf>
    <xf numFmtId="0" fontId="2" fillId="0" borderId="0" xfId="56" applyFont="1" applyBorder="1" applyAlignment="1" applyProtection="1">
      <alignment horizontal="center" vertical="center" wrapText="1"/>
      <protection hidden="1"/>
    </xf>
    <xf numFmtId="0" fontId="2" fillId="0" borderId="40" xfId="56" applyBorder="1" applyAlignment="1" applyProtection="1">
      <alignment horizontal="center" vertical="center"/>
      <protection hidden="1"/>
    </xf>
    <xf numFmtId="0" fontId="14" fillId="0" borderId="0" xfId="56" applyFont="1" applyBorder="1" applyAlignment="1" applyProtection="1">
      <alignment vertical="center" wrapText="1"/>
      <protection hidden="1"/>
    </xf>
    <xf numFmtId="0" fontId="2" fillId="0" borderId="40" xfId="56" applyBorder="1" applyAlignment="1" applyProtection="1">
      <alignment vertical="center" wrapText="1"/>
      <protection hidden="1"/>
    </xf>
    <xf numFmtId="0" fontId="18" fillId="0" borderId="0" xfId="56" applyFont="1" applyBorder="1" applyProtection="1">
      <alignment/>
      <protection hidden="1"/>
    </xf>
    <xf numFmtId="0" fontId="2" fillId="0" borderId="0" xfId="56" applyBorder="1" applyProtection="1">
      <alignment/>
      <protection hidden="1"/>
    </xf>
    <xf numFmtId="0" fontId="118" fillId="0" borderId="0" xfId="0" applyFont="1" applyBorder="1" applyAlignment="1" applyProtection="1">
      <alignment vertical="center"/>
      <protection hidden="1"/>
    </xf>
    <xf numFmtId="0" fontId="2" fillId="0" borderId="0" xfId="56" applyBorder="1" applyAlignment="1" applyProtection="1">
      <alignment horizontal="center" vertical="center" wrapText="1"/>
      <protection hidden="1"/>
    </xf>
    <xf numFmtId="0" fontId="2" fillId="0" borderId="49" xfId="56" applyBorder="1" applyAlignment="1" applyProtection="1">
      <alignment vertical="center"/>
      <protection hidden="1"/>
    </xf>
    <xf numFmtId="0" fontId="2" fillId="0" borderId="50" xfId="56" applyBorder="1" applyAlignment="1" applyProtection="1">
      <alignment vertical="center"/>
      <protection hidden="1"/>
    </xf>
    <xf numFmtId="0" fontId="2" fillId="0" borderId="50" xfId="56" applyBorder="1" applyAlignment="1" applyProtection="1">
      <alignment horizontal="center" vertical="center"/>
      <protection hidden="1"/>
    </xf>
    <xf numFmtId="0" fontId="2" fillId="0" borderId="51" xfId="56" applyBorder="1" applyAlignment="1" applyProtection="1">
      <alignment vertical="center"/>
      <protection hidden="1"/>
    </xf>
    <xf numFmtId="0" fontId="2" fillId="34" borderId="0" xfId="61" applyFill="1" applyProtection="1">
      <alignment/>
      <protection hidden="1"/>
    </xf>
    <xf numFmtId="0" fontId="2" fillId="34" borderId="0" xfId="61" applyFill="1" applyAlignment="1" applyProtection="1">
      <alignment horizontal="center" vertical="center"/>
      <protection hidden="1"/>
    </xf>
    <xf numFmtId="0" fontId="2" fillId="34" borderId="0" xfId="61" applyFill="1" applyAlignment="1" applyProtection="1">
      <alignment vertical="center"/>
      <protection hidden="1"/>
    </xf>
    <xf numFmtId="0" fontId="2" fillId="34" borderId="0" xfId="61" applyFill="1" applyBorder="1" applyProtection="1">
      <alignment/>
      <protection hidden="1"/>
    </xf>
    <xf numFmtId="0" fontId="11" fillId="34" borderId="0" xfId="61" applyFont="1" applyFill="1" applyProtection="1">
      <alignment/>
      <protection hidden="1"/>
    </xf>
    <xf numFmtId="0" fontId="0" fillId="35" borderId="0" xfId="0" applyFill="1" applyAlignment="1" applyProtection="1">
      <alignment/>
      <protection/>
    </xf>
    <xf numFmtId="0" fontId="2" fillId="35" borderId="0" xfId="56" applyFill="1" applyAlignment="1" applyProtection="1">
      <alignment vertical="center"/>
      <protection hidden="1"/>
    </xf>
    <xf numFmtId="0" fontId="2" fillId="35" borderId="0" xfId="56" applyFill="1" applyAlignment="1" applyProtection="1">
      <alignment horizontal="center" vertical="center"/>
      <protection hidden="1"/>
    </xf>
    <xf numFmtId="0" fontId="2" fillId="35" borderId="0" xfId="56" applyFill="1" applyBorder="1" applyAlignment="1" applyProtection="1">
      <alignment vertical="center"/>
      <protection hidden="1"/>
    </xf>
    <xf numFmtId="0" fontId="2" fillId="35" borderId="0" xfId="56" applyFont="1" applyFill="1" applyBorder="1" applyAlignment="1" applyProtection="1">
      <alignment vertical="center"/>
      <protection hidden="1"/>
    </xf>
    <xf numFmtId="0" fontId="2" fillId="35" borderId="0" xfId="56" applyFont="1" applyFill="1" applyAlignment="1" applyProtection="1">
      <alignment horizontal="center" vertical="center"/>
      <protection hidden="1"/>
    </xf>
    <xf numFmtId="0" fontId="2" fillId="35" borderId="0" xfId="56" applyFont="1" applyFill="1" applyAlignment="1" applyProtection="1">
      <alignment vertical="center"/>
      <protection hidden="1"/>
    </xf>
    <xf numFmtId="0" fontId="14" fillId="35" borderId="0" xfId="56" applyFont="1" applyFill="1" applyAlignment="1" applyProtection="1">
      <alignment vertical="center" wrapText="1"/>
      <protection hidden="1"/>
    </xf>
    <xf numFmtId="0" fontId="2" fillId="35" borderId="0" xfId="56" applyFont="1" applyFill="1" applyAlignment="1" applyProtection="1">
      <alignment vertical="center" wrapText="1"/>
      <protection hidden="1"/>
    </xf>
    <xf numFmtId="0" fontId="2" fillId="35" borderId="0" xfId="56" applyFill="1" applyBorder="1" applyAlignment="1" applyProtection="1">
      <alignment horizontal="center" vertical="center"/>
      <protection hidden="1"/>
    </xf>
    <xf numFmtId="0" fontId="2" fillId="35" borderId="0" xfId="56" applyFill="1" applyAlignment="1" applyProtection="1">
      <alignment horizontal="left" vertical="center" wrapText="1"/>
      <protection hidden="1"/>
    </xf>
    <xf numFmtId="0" fontId="0" fillId="35" borderId="0" xfId="0" applyFill="1" applyAlignment="1" applyProtection="1">
      <alignment/>
      <protection hidden="1"/>
    </xf>
    <xf numFmtId="0" fontId="2" fillId="0" borderId="39" xfId="57" applyBorder="1" applyAlignment="1" applyProtection="1">
      <alignment/>
      <protection hidden="1"/>
    </xf>
    <xf numFmtId="0" fontId="2" fillId="0" borderId="0" xfId="57" applyBorder="1" applyAlignment="1" applyProtection="1">
      <alignment/>
      <protection hidden="1"/>
    </xf>
    <xf numFmtId="0" fontId="2" fillId="0" borderId="0" xfId="57" applyBorder="1" applyProtection="1">
      <alignment/>
      <protection hidden="1"/>
    </xf>
    <xf numFmtId="0" fontId="2" fillId="0" borderId="40" xfId="57" applyBorder="1" applyProtection="1">
      <alignment/>
      <protection hidden="1"/>
    </xf>
    <xf numFmtId="0" fontId="2" fillId="0" borderId="0" xfId="57" applyBorder="1" applyAlignment="1" applyProtection="1">
      <alignment horizontal="center"/>
      <protection hidden="1"/>
    </xf>
    <xf numFmtId="0" fontId="2" fillId="0" borderId="39" xfId="57" applyBorder="1" applyAlignment="1" applyProtection="1">
      <alignment horizontal="left" vertical="center"/>
      <protection hidden="1"/>
    </xf>
    <xf numFmtId="0" fontId="2" fillId="0" borderId="39" xfId="57" applyBorder="1" applyAlignment="1" applyProtection="1">
      <alignment horizontal="left"/>
      <protection hidden="1"/>
    </xf>
    <xf numFmtId="0" fontId="2" fillId="0" borderId="40" xfId="57" applyBorder="1" applyAlignment="1" applyProtection="1">
      <alignment horizontal="left" vertical="center"/>
      <protection hidden="1"/>
    </xf>
    <xf numFmtId="0" fontId="2" fillId="0" borderId="44" xfId="57" applyBorder="1" applyAlignment="1" applyProtection="1">
      <alignment horizontal="left" vertical="center"/>
      <protection hidden="1"/>
    </xf>
    <xf numFmtId="0" fontId="2" fillId="0" borderId="0" xfId="57" applyFont="1" applyBorder="1" applyAlignment="1" applyProtection="1">
      <alignment horizontal="left" indent="1"/>
      <protection hidden="1"/>
    </xf>
    <xf numFmtId="0" fontId="2" fillId="0" borderId="40" xfId="57" applyBorder="1" applyAlignment="1" applyProtection="1">
      <alignment horizontal="center" vertical="center"/>
      <protection hidden="1"/>
    </xf>
    <xf numFmtId="0" fontId="2" fillId="0" borderId="39" xfId="57" applyFont="1" applyBorder="1" applyAlignment="1" applyProtection="1">
      <alignment horizontal="left" vertical="center"/>
      <protection hidden="1"/>
    </xf>
    <xf numFmtId="0" fontId="2" fillId="0" borderId="0" xfId="57" applyFont="1" applyBorder="1" applyAlignment="1" applyProtection="1">
      <alignment horizontal="left" vertical="center" indent="1"/>
      <protection hidden="1"/>
    </xf>
    <xf numFmtId="0" fontId="2" fillId="0" borderId="0" xfId="57" applyFont="1" applyBorder="1" applyAlignment="1" applyProtection="1">
      <alignment horizontal="left" vertical="center"/>
      <protection hidden="1"/>
    </xf>
    <xf numFmtId="0" fontId="2" fillId="0" borderId="39" xfId="57" applyBorder="1" applyAlignment="1" applyProtection="1">
      <alignment horizontal="right"/>
      <protection hidden="1"/>
    </xf>
    <xf numFmtId="0" fontId="2" fillId="0" borderId="0" xfId="57" applyFont="1" applyBorder="1" applyAlignment="1" applyProtection="1">
      <alignment horizontal="right"/>
      <protection hidden="1"/>
    </xf>
    <xf numFmtId="2" fontId="8" fillId="0" borderId="40" xfId="57" applyNumberFormat="1" applyFont="1" applyBorder="1" applyAlignment="1" applyProtection="1">
      <alignment horizontal="center"/>
      <protection hidden="1"/>
    </xf>
    <xf numFmtId="0" fontId="2" fillId="0" borderId="0" xfId="57" applyFont="1" applyBorder="1" applyAlignment="1" applyProtection="1">
      <alignment horizontal="left"/>
      <protection hidden="1"/>
    </xf>
    <xf numFmtId="0" fontId="2" fillId="0" borderId="39" xfId="57" applyBorder="1" applyProtection="1">
      <alignment/>
      <protection hidden="1"/>
    </xf>
    <xf numFmtId="0" fontId="2" fillId="0" borderId="49" xfId="57" applyBorder="1" applyProtection="1">
      <alignment/>
      <protection hidden="1"/>
    </xf>
    <xf numFmtId="0" fontId="2" fillId="0" borderId="50" xfId="57" applyBorder="1" applyProtection="1">
      <alignment/>
      <protection hidden="1"/>
    </xf>
    <xf numFmtId="0" fontId="2" fillId="0" borderId="51" xfId="57" applyBorder="1" applyProtection="1">
      <alignment/>
      <protection hidden="1"/>
    </xf>
    <xf numFmtId="0" fontId="12" fillId="0" borderId="39" xfId="57" applyFont="1" applyBorder="1" applyAlignment="1" applyProtection="1">
      <alignment horizontal="left" vertical="center"/>
      <protection hidden="1"/>
    </xf>
    <xf numFmtId="0" fontId="12" fillId="0" borderId="0" xfId="57" applyFont="1" applyBorder="1" applyAlignment="1" applyProtection="1">
      <alignment horizontal="left" vertical="center"/>
      <protection hidden="1"/>
    </xf>
    <xf numFmtId="49" fontId="29" fillId="0" borderId="0" xfId="57" applyNumberFormat="1" applyFont="1" applyBorder="1" applyAlignment="1" applyProtection="1">
      <alignment horizontal="left" vertical="center"/>
      <protection hidden="1"/>
    </xf>
    <xf numFmtId="0" fontId="2" fillId="0" borderId="0" xfId="57" applyBorder="1" applyAlignment="1" applyProtection="1">
      <alignment vertical="center"/>
      <protection hidden="1"/>
    </xf>
    <xf numFmtId="0" fontId="29" fillId="0" borderId="0" xfId="57" applyFont="1" applyBorder="1" applyAlignment="1" applyProtection="1">
      <alignment horizontal="left" vertical="center"/>
      <protection hidden="1"/>
    </xf>
    <xf numFmtId="0" fontId="12" fillId="0" borderId="39" xfId="57" applyFont="1" applyBorder="1" applyAlignment="1" applyProtection="1">
      <alignment vertical="center"/>
      <protection hidden="1"/>
    </xf>
    <xf numFmtId="0" fontId="30" fillId="0" borderId="0" xfId="57" applyFont="1" applyBorder="1" applyAlignment="1" applyProtection="1">
      <alignment vertical="center"/>
      <protection hidden="1"/>
    </xf>
    <xf numFmtId="0" fontId="2" fillId="0" borderId="39" xfId="57" applyBorder="1" applyAlignment="1" applyProtection="1">
      <alignment vertical="center"/>
      <protection hidden="1"/>
    </xf>
    <xf numFmtId="2" fontId="8" fillId="0" borderId="0" xfId="57" applyNumberFormat="1" applyFont="1" applyBorder="1" applyAlignment="1" applyProtection="1">
      <alignment vertical="center"/>
      <protection hidden="1"/>
    </xf>
    <xf numFmtId="0" fontId="2" fillId="0" borderId="39" xfId="57" applyFont="1" applyBorder="1" applyProtection="1">
      <alignment/>
      <protection hidden="1"/>
    </xf>
    <xf numFmtId="0" fontId="2" fillId="0" borderId="41" xfId="57" applyBorder="1" applyProtection="1">
      <alignment/>
      <protection hidden="1"/>
    </xf>
    <xf numFmtId="0" fontId="12" fillId="0" borderId="0" xfId="57" applyFont="1" applyBorder="1" applyProtection="1">
      <alignment/>
      <protection hidden="1"/>
    </xf>
    <xf numFmtId="0" fontId="2" fillId="35" borderId="0" xfId="57" applyFill="1" applyProtection="1">
      <alignment/>
      <protection hidden="1"/>
    </xf>
    <xf numFmtId="0" fontId="2" fillId="35" borderId="0" xfId="57" applyFill="1" applyAlignment="1" applyProtection="1">
      <alignment horizontal="left" vertical="center"/>
      <protection hidden="1"/>
    </xf>
    <xf numFmtId="0" fontId="2" fillId="0" borderId="52" xfId="57" applyFont="1" applyBorder="1" applyAlignment="1" applyProtection="1">
      <alignment vertical="center"/>
      <protection hidden="1"/>
    </xf>
    <xf numFmtId="0" fontId="2" fillId="0" borderId="20" xfId="57" applyFont="1" applyBorder="1" applyAlignment="1" applyProtection="1">
      <alignment vertical="center"/>
      <protection hidden="1"/>
    </xf>
    <xf numFmtId="0" fontId="2" fillId="0" borderId="14" xfId="57" applyFont="1" applyBorder="1" applyAlignment="1" applyProtection="1">
      <alignment vertical="center"/>
      <protection hidden="1"/>
    </xf>
    <xf numFmtId="0" fontId="122" fillId="35" borderId="0" xfId="0" applyFont="1" applyFill="1" applyAlignment="1" applyProtection="1">
      <alignment/>
      <protection hidden="1"/>
    </xf>
    <xf numFmtId="0" fontId="122" fillId="35" borderId="0" xfId="0" applyFont="1" applyFill="1" applyAlignment="1" applyProtection="1">
      <alignment horizontal="center" vertical="center"/>
      <protection hidden="1"/>
    </xf>
    <xf numFmtId="0" fontId="0" fillId="35" borderId="0" xfId="0" applyFill="1" applyAlignment="1" applyProtection="1">
      <alignment vertical="center"/>
      <protection hidden="1"/>
    </xf>
    <xf numFmtId="14" fontId="0" fillId="35" borderId="0" xfId="0" applyNumberFormat="1" applyFill="1" applyAlignment="1" applyProtection="1">
      <alignment/>
      <protection hidden="1"/>
    </xf>
    <xf numFmtId="0" fontId="40" fillId="35" borderId="0" xfId="0" applyFont="1" applyFill="1" applyAlignment="1" applyProtection="1">
      <alignment/>
      <protection locked="0"/>
    </xf>
    <xf numFmtId="1" fontId="41" fillId="35" borderId="0" xfId="0" applyNumberFormat="1" applyFont="1" applyFill="1" applyAlignment="1" applyProtection="1">
      <alignment/>
      <protection locked="0"/>
    </xf>
    <xf numFmtId="1" fontId="46" fillId="35" borderId="0" xfId="0" applyNumberFormat="1" applyFont="1" applyFill="1" applyAlignment="1" applyProtection="1">
      <alignment/>
      <protection locked="0"/>
    </xf>
    <xf numFmtId="0" fontId="0" fillId="35" borderId="0" xfId="0" applyFill="1" applyAlignment="1" applyProtection="1">
      <alignment vertical="center" wrapText="1"/>
      <protection hidden="1"/>
    </xf>
    <xf numFmtId="0" fontId="0" fillId="0" borderId="45" xfId="0" applyBorder="1" applyAlignment="1" applyProtection="1">
      <alignment vertical="center"/>
      <protection hidden="1"/>
    </xf>
    <xf numFmtId="0" fontId="126" fillId="0" borderId="47" xfId="0" applyFont="1" applyBorder="1" applyAlignment="1" applyProtection="1">
      <alignment vertical="center"/>
      <protection hidden="1"/>
    </xf>
    <xf numFmtId="0" fontId="118" fillId="0" borderId="39" xfId="0" applyFont="1" applyBorder="1" applyAlignment="1" applyProtection="1">
      <alignment vertical="center"/>
      <protection hidden="1"/>
    </xf>
    <xf numFmtId="0" fontId="118" fillId="0" borderId="40" xfId="0" applyFont="1" applyBorder="1" applyAlignment="1" applyProtection="1">
      <alignment vertical="center"/>
      <protection hidden="1"/>
    </xf>
    <xf numFmtId="0" fontId="0" fillId="0" borderId="39" xfId="0" applyBorder="1" applyAlignment="1" applyProtection="1">
      <alignment vertical="center"/>
      <protection hidden="1"/>
    </xf>
    <xf numFmtId="0" fontId="12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18" fillId="0" borderId="40" xfId="0" applyFont="1" applyBorder="1" applyAlignment="1" applyProtection="1">
      <alignment horizontal="center" vertical="center" wrapText="1"/>
      <protection hidden="1"/>
    </xf>
    <xf numFmtId="49" fontId="0" fillId="0" borderId="39" xfId="0" applyNumberFormat="1" applyBorder="1" applyAlignment="1" applyProtection="1">
      <alignment horizontal="center" vertical="top"/>
      <protection hidden="1"/>
    </xf>
    <xf numFmtId="0" fontId="118" fillId="0" borderId="0" xfId="0" applyFont="1" applyBorder="1" applyAlignment="1" applyProtection="1">
      <alignment wrapText="1"/>
      <protection hidden="1"/>
    </xf>
    <xf numFmtId="49" fontId="0" fillId="0" borderId="39" xfId="0" applyNumberFormat="1" applyBorder="1" applyAlignment="1" applyProtection="1">
      <alignment horizontal="center"/>
      <protection hidden="1"/>
    </xf>
    <xf numFmtId="0" fontId="118" fillId="0" borderId="0" xfId="0" applyFont="1" applyBorder="1" applyAlignment="1" applyProtection="1">
      <alignment horizontal="right"/>
      <protection hidden="1"/>
    </xf>
    <xf numFmtId="0" fontId="0" fillId="0" borderId="49" xfId="0" applyBorder="1" applyAlignment="1" applyProtection="1">
      <alignment/>
      <protection hidden="1"/>
    </xf>
    <xf numFmtId="0" fontId="118" fillId="0" borderId="50" xfId="0" applyFont="1" applyBorder="1" applyAlignment="1" applyProtection="1">
      <alignment horizontal="right" indent="3"/>
      <protection hidden="1"/>
    </xf>
    <xf numFmtId="0" fontId="118" fillId="0" borderId="50" xfId="0" applyFont="1" applyBorder="1" applyAlignment="1" applyProtection="1">
      <alignment/>
      <protection hidden="1"/>
    </xf>
    <xf numFmtId="0" fontId="0" fillId="0" borderId="51" xfId="0" applyBorder="1" applyAlignment="1" applyProtection="1">
      <alignment/>
      <protection hidden="1"/>
    </xf>
    <xf numFmtId="0" fontId="118" fillId="35" borderId="0" xfId="0" applyFont="1" applyFill="1" applyAlignment="1" applyProtection="1">
      <alignment vertical="center"/>
      <protection hidden="1"/>
    </xf>
    <xf numFmtId="0" fontId="0" fillId="0" borderId="30" xfId="0" applyBorder="1" applyAlignment="1" applyProtection="1">
      <alignment horizontal="center" vertical="top" wrapText="1"/>
      <protection hidden="1" locked="0"/>
    </xf>
    <xf numFmtId="0" fontId="0" fillId="0" borderId="28" xfId="0" applyBorder="1" applyAlignment="1" applyProtection="1">
      <alignment horizontal="center" vertical="top" wrapText="1"/>
      <protection hidden="1" locked="0"/>
    </xf>
    <xf numFmtId="0" fontId="119" fillId="0" borderId="27" xfId="0" applyFont="1" applyBorder="1" applyAlignment="1" applyProtection="1">
      <alignment horizontal="left" vertical="top" wrapText="1"/>
      <protection hidden="1"/>
    </xf>
    <xf numFmtId="1" fontId="2" fillId="0" borderId="13" xfId="61" applyNumberFormat="1" applyBorder="1" applyAlignment="1" applyProtection="1">
      <alignment horizontal="center" vertical="center"/>
      <protection hidden="1"/>
    </xf>
    <xf numFmtId="0" fontId="0" fillId="0" borderId="0" xfId="0" applyFill="1" applyAlignment="1" applyProtection="1">
      <alignment/>
      <protection/>
    </xf>
    <xf numFmtId="0" fontId="116" fillId="0" borderId="27" xfId="0" applyFont="1" applyFill="1" applyBorder="1" applyAlignment="1" applyProtection="1">
      <alignment horizontal="left" vertical="top"/>
      <protection/>
    </xf>
    <xf numFmtId="2" fontId="2" fillId="0" borderId="53" xfId="57" applyNumberFormat="1" applyBorder="1" applyAlignment="1" applyProtection="1">
      <alignment horizontal="left"/>
      <protection hidden="1"/>
    </xf>
    <xf numFmtId="0" fontId="0" fillId="3" borderId="0" xfId="0" applyFill="1" applyAlignment="1" applyProtection="1">
      <alignment/>
      <protection hidden="1"/>
    </xf>
    <xf numFmtId="0" fontId="0" fillId="20" borderId="0" xfId="0" applyFill="1" applyAlignment="1" applyProtection="1">
      <alignment/>
      <protection hidden="1"/>
    </xf>
    <xf numFmtId="14" fontId="0" fillId="20" borderId="0" xfId="0" applyNumberFormat="1" applyFill="1" applyAlignment="1" applyProtection="1">
      <alignment/>
      <protection hidden="1"/>
    </xf>
    <xf numFmtId="185" fontId="0" fillId="20" borderId="0" xfId="0" applyNumberFormat="1" applyFill="1" applyAlignment="1" applyProtection="1">
      <alignment/>
      <protection hidden="1"/>
    </xf>
    <xf numFmtId="0" fontId="2" fillId="36" borderId="0" xfId="61" applyFill="1" applyProtection="1">
      <alignment/>
      <protection hidden="1"/>
    </xf>
    <xf numFmtId="0" fontId="2" fillId="36" borderId="0" xfId="61" applyFill="1" applyAlignment="1" applyProtection="1">
      <alignment vertical="center"/>
      <protection hidden="1"/>
    </xf>
    <xf numFmtId="0" fontId="2" fillId="36" borderId="0" xfId="61" applyFill="1" applyBorder="1" applyProtection="1">
      <alignment/>
      <protection hidden="1"/>
    </xf>
    <xf numFmtId="0" fontId="11" fillId="36" borderId="0" xfId="61" applyFont="1" applyFill="1" applyProtection="1">
      <alignment/>
      <protection hidden="1"/>
    </xf>
    <xf numFmtId="0" fontId="0" fillId="36" borderId="0" xfId="0" applyFill="1" applyAlignment="1" applyProtection="1">
      <alignment/>
      <protection hidden="1"/>
    </xf>
    <xf numFmtId="0" fontId="0" fillId="36" borderId="0" xfId="0" applyFill="1" applyAlignment="1" applyProtection="1">
      <alignment vertical="center"/>
      <protection hidden="1"/>
    </xf>
    <xf numFmtId="0" fontId="2" fillId="36" borderId="0" xfId="56" applyFill="1" applyAlignment="1" applyProtection="1">
      <alignment vertical="center"/>
      <protection hidden="1"/>
    </xf>
    <xf numFmtId="0" fontId="2" fillId="36" borderId="0" xfId="56" applyFill="1" applyBorder="1" applyAlignment="1" applyProtection="1">
      <alignment vertical="center"/>
      <protection hidden="1"/>
    </xf>
    <xf numFmtId="0" fontId="2" fillId="36" borderId="0" xfId="56" applyFont="1" applyFill="1" applyBorder="1" applyAlignment="1" applyProtection="1">
      <alignment vertical="center"/>
      <protection hidden="1"/>
    </xf>
    <xf numFmtId="0" fontId="2" fillId="36" borderId="0" xfId="56" applyFont="1" applyFill="1" applyAlignment="1" applyProtection="1">
      <alignment horizontal="center" vertical="center"/>
      <protection hidden="1"/>
    </xf>
    <xf numFmtId="0" fontId="2" fillId="36" borderId="0" xfId="56" applyFont="1" applyFill="1" applyAlignment="1" applyProtection="1">
      <alignment vertical="center"/>
      <protection hidden="1"/>
    </xf>
    <xf numFmtId="0" fontId="14" fillId="36" borderId="0" xfId="56" applyFont="1" applyFill="1" applyAlignment="1" applyProtection="1">
      <alignment vertical="center" wrapText="1"/>
      <protection hidden="1"/>
    </xf>
    <xf numFmtId="0" fontId="2" fillId="36" borderId="0" xfId="56" applyFont="1" applyFill="1" applyAlignment="1" applyProtection="1">
      <alignment vertical="center" wrapText="1"/>
      <protection hidden="1"/>
    </xf>
    <xf numFmtId="0" fontId="2" fillId="36" borderId="0" xfId="56" applyFill="1" applyBorder="1" applyAlignment="1" applyProtection="1">
      <alignment horizontal="center" vertical="center"/>
      <protection hidden="1"/>
    </xf>
    <xf numFmtId="0" fontId="2" fillId="36" borderId="0" xfId="56" applyFill="1" applyAlignment="1" applyProtection="1">
      <alignment horizontal="left" vertical="center" wrapText="1"/>
      <protection hidden="1"/>
    </xf>
    <xf numFmtId="0" fontId="118" fillId="36" borderId="0" xfId="0" applyFont="1" applyFill="1" applyAlignment="1" applyProtection="1">
      <alignment vertical="center"/>
      <protection hidden="1"/>
    </xf>
    <xf numFmtId="0" fontId="2" fillId="36" borderId="0" xfId="57" applyFill="1" applyProtection="1">
      <alignment/>
      <protection hidden="1"/>
    </xf>
    <xf numFmtId="0" fontId="2" fillId="36" borderId="0" xfId="57" applyFill="1" applyAlignment="1" applyProtection="1">
      <alignment horizontal="left" vertical="center"/>
      <protection hidden="1"/>
    </xf>
    <xf numFmtId="0" fontId="2" fillId="37" borderId="0" xfId="56" applyFill="1" applyAlignment="1" applyProtection="1">
      <alignment vertical="center"/>
      <protection hidden="1"/>
    </xf>
    <xf numFmtId="0" fontId="2" fillId="37" borderId="0" xfId="56" applyFill="1" applyBorder="1" applyAlignment="1" applyProtection="1">
      <alignment vertical="center"/>
      <protection hidden="1"/>
    </xf>
    <xf numFmtId="0" fontId="2" fillId="37" borderId="0" xfId="56" applyFont="1" applyFill="1" applyBorder="1" applyAlignment="1" applyProtection="1">
      <alignment vertical="center"/>
      <protection hidden="1"/>
    </xf>
    <xf numFmtId="0" fontId="2" fillId="37" borderId="0" xfId="56" applyFont="1" applyFill="1" applyAlignment="1" applyProtection="1">
      <alignment horizontal="center" vertical="center"/>
      <protection hidden="1"/>
    </xf>
    <xf numFmtId="0" fontId="2" fillId="37" borderId="0" xfId="56" applyFont="1" applyFill="1" applyAlignment="1" applyProtection="1">
      <alignment vertical="center"/>
      <protection hidden="1"/>
    </xf>
    <xf numFmtId="0" fontId="14" fillId="37" borderId="0" xfId="56" applyFont="1" applyFill="1" applyAlignment="1" applyProtection="1">
      <alignment vertical="center" wrapText="1"/>
      <protection hidden="1"/>
    </xf>
    <xf numFmtId="0" fontId="2" fillId="37" borderId="0" xfId="56" applyFont="1" applyFill="1" applyAlignment="1" applyProtection="1">
      <alignment vertical="center" wrapText="1"/>
      <protection hidden="1"/>
    </xf>
    <xf numFmtId="0" fontId="2" fillId="37" borderId="0" xfId="56" applyFill="1" applyBorder="1" applyAlignment="1" applyProtection="1">
      <alignment horizontal="center" vertical="center"/>
      <protection hidden="1"/>
    </xf>
    <xf numFmtId="0" fontId="2" fillId="37" borderId="0" xfId="56" applyFill="1" applyAlignment="1" applyProtection="1">
      <alignment horizontal="left" vertical="center" wrapText="1"/>
      <protection hidden="1"/>
    </xf>
    <xf numFmtId="0" fontId="0" fillId="37" borderId="0" xfId="0" applyFill="1" applyAlignment="1" applyProtection="1">
      <alignment/>
      <protection hidden="1"/>
    </xf>
    <xf numFmtId="0" fontId="0" fillId="0" borderId="13" xfId="0" applyBorder="1" applyAlignment="1" applyProtection="1">
      <alignment horizontal="center"/>
      <protection hidden="1"/>
    </xf>
    <xf numFmtId="0" fontId="0" fillId="0" borderId="30" xfId="0" applyBorder="1" applyAlignment="1" applyProtection="1">
      <alignment horizontal="center" vertical="top" wrapText="1"/>
      <protection hidden="1" locked="0"/>
    </xf>
    <xf numFmtId="0" fontId="0" fillId="0" borderId="28" xfId="0" applyBorder="1" applyAlignment="1" applyProtection="1">
      <alignment horizontal="center" vertical="top" wrapText="1"/>
      <protection hidden="1" locked="0"/>
    </xf>
    <xf numFmtId="0" fontId="119" fillId="0" borderId="27" xfId="0" applyFont="1" applyBorder="1" applyAlignment="1" applyProtection="1">
      <alignment horizontal="left" vertical="top" wrapText="1"/>
      <protection hidden="1"/>
    </xf>
    <xf numFmtId="0" fontId="24" fillId="33" borderId="25" xfId="56" applyFont="1" applyFill="1" applyBorder="1" applyAlignment="1" applyProtection="1">
      <alignment horizontal="left" vertical="center" wrapText="1" shrinkToFit="1"/>
      <protection/>
    </xf>
    <xf numFmtId="0" fontId="128" fillId="20" borderId="54" xfId="0" applyFont="1" applyFill="1" applyBorder="1" applyAlignment="1" applyProtection="1">
      <alignment vertical="center" shrinkToFit="1"/>
      <protection locked="0"/>
    </xf>
    <xf numFmtId="0" fontId="128" fillId="20" borderId="54" xfId="0" applyFont="1" applyFill="1" applyBorder="1" applyAlignment="1" applyProtection="1">
      <alignment horizontal="left" vertical="center"/>
      <protection locked="0"/>
    </xf>
    <xf numFmtId="172" fontId="128" fillId="20" borderId="54" xfId="0" applyNumberFormat="1" applyFont="1" applyFill="1" applyBorder="1" applyAlignment="1" applyProtection="1">
      <alignment horizontal="left" vertical="center"/>
      <protection locked="0"/>
    </xf>
    <xf numFmtId="0" fontId="128" fillId="20" borderId="55" xfId="0" applyFont="1" applyFill="1" applyBorder="1" applyAlignment="1" applyProtection="1">
      <alignment horizontal="right" vertical="center" shrinkToFit="1"/>
      <protection locked="0"/>
    </xf>
    <xf numFmtId="0" fontId="6" fillId="33" borderId="25" xfId="56" applyFont="1" applyFill="1" applyBorder="1" applyAlignment="1" applyProtection="1">
      <alignment horizontal="left" vertical="center"/>
      <protection/>
    </xf>
    <xf numFmtId="0" fontId="6" fillId="33" borderId="25" xfId="56" applyFont="1" applyFill="1" applyBorder="1" applyAlignment="1" applyProtection="1">
      <alignment horizontal="left" vertical="center" wrapText="1"/>
      <protection/>
    </xf>
    <xf numFmtId="0" fontId="2" fillId="0" borderId="0" xfId="61" applyFill="1" applyProtection="1">
      <alignment/>
      <protection hidden="1"/>
    </xf>
    <xf numFmtId="0" fontId="2" fillId="0" borderId="0" xfId="61" applyFill="1" applyAlignment="1" applyProtection="1">
      <alignment vertical="center"/>
      <protection hidden="1"/>
    </xf>
    <xf numFmtId="0" fontId="2" fillId="0" borderId="0" xfId="61" applyFill="1" applyBorder="1" applyProtection="1">
      <alignment/>
      <protection hidden="1"/>
    </xf>
    <xf numFmtId="0" fontId="11" fillId="0" borderId="0" xfId="61" applyFont="1" applyFill="1" applyProtection="1">
      <alignment/>
      <protection hidden="1"/>
    </xf>
    <xf numFmtId="0" fontId="122" fillId="0" borderId="11" xfId="0" applyFont="1" applyBorder="1" applyAlignment="1" applyProtection="1">
      <alignment/>
      <protection hidden="1"/>
    </xf>
    <xf numFmtId="0" fontId="0" fillId="0" borderId="11" xfId="0" applyBorder="1" applyAlignment="1" applyProtection="1">
      <alignment horizontal="center"/>
      <protection hidden="1"/>
    </xf>
    <xf numFmtId="0" fontId="122" fillId="0" borderId="13" xfId="0" applyFont="1" applyBorder="1" applyAlignment="1" applyProtection="1">
      <alignment horizontal="center"/>
      <protection hidden="1"/>
    </xf>
    <xf numFmtId="0" fontId="34" fillId="0" borderId="0" xfId="61" applyFont="1" applyBorder="1" applyAlignment="1" applyProtection="1">
      <alignment horizontal="center" vertical="top" wrapText="1"/>
      <protection hidden="1"/>
    </xf>
    <xf numFmtId="1" fontId="0" fillId="0" borderId="13" xfId="0" applyNumberFormat="1" applyBorder="1" applyAlignment="1" applyProtection="1">
      <alignment/>
      <protection hidden="1"/>
    </xf>
    <xf numFmtId="1" fontId="112" fillId="0" borderId="13" xfId="0" applyNumberFormat="1" applyFont="1" applyBorder="1" applyAlignment="1" applyProtection="1">
      <alignment/>
      <protection hidden="1"/>
    </xf>
    <xf numFmtId="2" fontId="36" fillId="0" borderId="0" xfId="61" applyNumberFormat="1" applyFont="1" applyBorder="1" applyAlignment="1" applyProtection="1">
      <alignment horizontal="left" vertical="top" indent="1"/>
      <protection hidden="1" locked="0"/>
    </xf>
    <xf numFmtId="175" fontId="128" fillId="20" borderId="55" xfId="56" applyNumberFormat="1" applyFont="1" applyFill="1" applyBorder="1" applyAlignment="1" applyProtection="1">
      <alignment horizontal="center" vertical="center"/>
      <protection locked="0"/>
    </xf>
    <xf numFmtId="175" fontId="128" fillId="20" borderId="54" xfId="56" applyNumberFormat="1" applyFont="1" applyFill="1" applyBorder="1" applyAlignment="1" applyProtection="1">
      <alignment horizontal="center" vertical="center"/>
      <protection locked="0"/>
    </xf>
    <xf numFmtId="49" fontId="128" fillId="20" borderId="55" xfId="56" applyNumberFormat="1" applyFont="1" applyFill="1" applyBorder="1" applyAlignment="1" applyProtection="1">
      <alignment horizontal="center" vertical="center"/>
      <protection locked="0"/>
    </xf>
    <xf numFmtId="49" fontId="128" fillId="20" borderId="54" xfId="56" applyNumberFormat="1" applyFont="1" applyFill="1" applyBorder="1" applyAlignment="1" applyProtection="1">
      <alignment horizontal="center" vertical="center"/>
      <protection locked="0"/>
    </xf>
    <xf numFmtId="0" fontId="128" fillId="20" borderId="55" xfId="56" applyFont="1" applyFill="1" applyBorder="1" applyAlignment="1" applyProtection="1">
      <alignment horizontal="center" vertical="center"/>
      <protection locked="0"/>
    </xf>
    <xf numFmtId="0" fontId="128" fillId="20" borderId="54" xfId="56" applyFont="1" applyFill="1" applyBorder="1" applyAlignment="1" applyProtection="1">
      <alignment horizontal="center" vertical="center"/>
      <protection locked="0"/>
    </xf>
    <xf numFmtId="0" fontId="128" fillId="20" borderId="55" xfId="0" applyFont="1" applyFill="1" applyBorder="1" applyAlignment="1" applyProtection="1">
      <alignment horizontal="center" vertical="center"/>
      <protection locked="0"/>
    </xf>
    <xf numFmtId="0" fontId="128" fillId="20" borderId="54" xfId="0" applyFont="1" applyFill="1" applyBorder="1" applyAlignment="1" applyProtection="1">
      <alignment horizontal="center" vertical="center"/>
      <protection locked="0"/>
    </xf>
    <xf numFmtId="172" fontId="129" fillId="20" borderId="55" xfId="0" applyNumberFormat="1" applyFont="1" applyFill="1" applyBorder="1" applyAlignment="1" applyProtection="1">
      <alignment horizontal="center"/>
      <protection locked="0"/>
    </xf>
    <xf numFmtId="172" fontId="129" fillId="20" borderId="54" xfId="0" applyNumberFormat="1" applyFont="1" applyFill="1" applyBorder="1" applyAlignment="1" applyProtection="1">
      <alignment horizontal="center"/>
      <protection locked="0"/>
    </xf>
    <xf numFmtId="0" fontId="130" fillId="16" borderId="55" xfId="0" applyFont="1" applyFill="1" applyBorder="1" applyAlignment="1" applyProtection="1">
      <alignment horizontal="center" vertical="center" wrapText="1"/>
      <protection/>
    </xf>
    <xf numFmtId="0" fontId="130" fillId="16" borderId="56" xfId="0" applyFont="1" applyFill="1" applyBorder="1" applyAlignment="1" applyProtection="1">
      <alignment horizontal="center" vertical="center"/>
      <protection/>
    </xf>
    <xf numFmtId="0" fontId="130" fillId="16" borderId="54" xfId="0" applyFont="1" applyFill="1" applyBorder="1" applyAlignment="1" applyProtection="1">
      <alignment horizontal="center" vertical="center"/>
      <protection/>
    </xf>
    <xf numFmtId="0" fontId="130" fillId="16" borderId="55" xfId="0" applyFont="1" applyFill="1" applyBorder="1" applyAlignment="1" applyProtection="1">
      <alignment horizontal="center" vertical="center"/>
      <protection/>
    </xf>
    <xf numFmtId="0" fontId="25" fillId="33" borderId="55" xfId="56" applyFont="1" applyFill="1" applyBorder="1" applyAlignment="1" applyProtection="1">
      <alignment horizontal="left" wrapText="1"/>
      <protection/>
    </xf>
    <xf numFmtId="0" fontId="25" fillId="33" borderId="56" xfId="56" applyFont="1" applyFill="1" applyBorder="1" applyAlignment="1" applyProtection="1">
      <alignment horizontal="left" wrapText="1"/>
      <protection/>
    </xf>
    <xf numFmtId="0" fontId="25" fillId="33" borderId="54" xfId="56" applyFont="1" applyFill="1" applyBorder="1" applyAlignment="1" applyProtection="1">
      <alignment horizontal="left" wrapText="1"/>
      <protection/>
    </xf>
    <xf numFmtId="0" fontId="131" fillId="33" borderId="55" xfId="56" applyFont="1" applyFill="1" applyBorder="1" applyAlignment="1" applyProtection="1">
      <alignment horizontal="center" vertical="center"/>
      <protection/>
    </xf>
    <xf numFmtId="0" fontId="131" fillId="33" borderId="56" xfId="56" applyFont="1" applyFill="1" applyBorder="1" applyAlignment="1" applyProtection="1">
      <alignment horizontal="center" vertical="center"/>
      <protection/>
    </xf>
    <xf numFmtId="0" fontId="131" fillId="33" borderId="54" xfId="56" applyFont="1" applyFill="1" applyBorder="1" applyAlignment="1" applyProtection="1">
      <alignment horizontal="center" vertical="center"/>
      <protection/>
    </xf>
    <xf numFmtId="0" fontId="132" fillId="20" borderId="55" xfId="56" applyFont="1" applyFill="1" applyBorder="1" applyAlignment="1" applyProtection="1">
      <alignment horizontal="center" vertical="center"/>
      <protection locked="0"/>
    </xf>
    <xf numFmtId="0" fontId="132" fillId="20" borderId="54" xfId="56" applyFont="1" applyFill="1" applyBorder="1" applyAlignment="1" applyProtection="1">
      <alignment horizontal="center" vertical="center"/>
      <protection locked="0"/>
    </xf>
    <xf numFmtId="0" fontId="34" fillId="0" borderId="0" xfId="61" applyFont="1" applyAlignment="1" applyProtection="1">
      <alignment horizontal="center"/>
      <protection hidden="1"/>
    </xf>
    <xf numFmtId="0" fontId="34" fillId="0" borderId="0" xfId="61" applyFont="1" applyAlignment="1" applyProtection="1">
      <alignment horizontal="justify" vertical="top" wrapText="1"/>
      <protection hidden="1"/>
    </xf>
    <xf numFmtId="0" fontId="36" fillId="0" borderId="0" xfId="61" applyFont="1" applyBorder="1" applyAlignment="1" applyProtection="1">
      <alignment horizontal="center" vertical="top" wrapText="1"/>
      <protection hidden="1"/>
    </xf>
    <xf numFmtId="0" fontId="2" fillId="0" borderId="0" xfId="61" applyFont="1" applyAlignment="1" applyProtection="1">
      <alignment horizontal="center"/>
      <protection hidden="1"/>
    </xf>
    <xf numFmtId="2" fontId="2" fillId="0" borderId="0" xfId="61" applyNumberFormat="1" applyAlignment="1" applyProtection="1">
      <alignment horizontal="center"/>
      <protection hidden="1"/>
    </xf>
    <xf numFmtId="0" fontId="34" fillId="0" borderId="16" xfId="61" applyFont="1" applyBorder="1" applyAlignment="1" applyProtection="1">
      <alignment horizontal="justify" vertical="top" wrapText="1"/>
      <protection hidden="1"/>
    </xf>
    <xf numFmtId="0" fontId="34" fillId="0" borderId="0" xfId="61" applyFont="1" applyBorder="1" applyAlignment="1" applyProtection="1">
      <alignment horizontal="justify" vertical="top" wrapText="1"/>
      <protection hidden="1"/>
    </xf>
    <xf numFmtId="0" fontId="34" fillId="0" borderId="0" xfId="61" applyFont="1" applyBorder="1" applyAlignment="1" applyProtection="1">
      <alignment horizontal="left" vertical="top" wrapText="1"/>
      <protection hidden="1"/>
    </xf>
    <xf numFmtId="172" fontId="34" fillId="0" borderId="13" xfId="61" applyNumberFormat="1" applyFont="1" applyBorder="1" applyAlignment="1" applyProtection="1">
      <alignment horizontal="center" vertical="center" wrapText="1"/>
      <protection hidden="1" locked="0"/>
    </xf>
    <xf numFmtId="0" fontId="0" fillId="0" borderId="0" xfId="0" applyAlignment="1" applyProtection="1">
      <alignment horizontal="center"/>
      <protection hidden="1" locked="0"/>
    </xf>
    <xf numFmtId="0" fontId="133" fillId="0" borderId="23" xfId="0" applyFont="1" applyBorder="1" applyAlignment="1" applyProtection="1">
      <alignment horizontal="left" vertical="center" wrapText="1"/>
      <protection hidden="1"/>
    </xf>
    <xf numFmtId="0" fontId="0" fillId="0" borderId="52"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14" fillId="0" borderId="0" xfId="0" applyFont="1" applyAlignment="1" applyProtection="1">
      <alignment horizontal="center"/>
      <protection hidden="1"/>
    </xf>
    <xf numFmtId="0" fontId="114" fillId="0" borderId="26" xfId="0" applyFont="1" applyBorder="1" applyAlignment="1" applyProtection="1">
      <alignment horizontal="center"/>
      <protection hidden="1"/>
    </xf>
    <xf numFmtId="0" fontId="0" fillId="0" borderId="13" xfId="0" applyBorder="1" applyAlignment="1" applyProtection="1">
      <alignment horizontal="center"/>
      <protection hidden="1"/>
    </xf>
    <xf numFmtId="0" fontId="112" fillId="0" borderId="13" xfId="0" applyFont="1" applyBorder="1" applyAlignment="1" applyProtection="1">
      <alignment horizontal="center"/>
      <protection hidden="1"/>
    </xf>
    <xf numFmtId="0" fontId="0" fillId="0" borderId="0" xfId="0" applyAlignment="1" applyProtection="1">
      <alignment horizontal="left" wrapText="1"/>
      <protection hidden="1"/>
    </xf>
    <xf numFmtId="0" fontId="134" fillId="0" borderId="23" xfId="0" applyFont="1" applyBorder="1" applyAlignment="1" applyProtection="1">
      <alignment horizontal="left" shrinkToFit="1"/>
      <protection hidden="1" locked="0"/>
    </xf>
    <xf numFmtId="0" fontId="0" fillId="0" borderId="0" xfId="0" applyAlignment="1" applyProtection="1">
      <alignment horizontal="center" vertical="top"/>
      <protection hidden="1" locked="0"/>
    </xf>
    <xf numFmtId="0" fontId="0" fillId="0" borderId="0" xfId="0" applyAlignment="1" applyProtection="1">
      <alignment horizontal="left"/>
      <protection hidden="1" locked="0"/>
    </xf>
    <xf numFmtId="0" fontId="0" fillId="0" borderId="0" xfId="0" applyAlignment="1" applyProtection="1">
      <alignment horizontal="justify" vertical="center" wrapText="1"/>
      <protection hidden="1"/>
    </xf>
    <xf numFmtId="0" fontId="135" fillId="0" borderId="0" xfId="0" applyFont="1" applyAlignment="1" applyProtection="1">
      <alignment horizontal="center"/>
      <protection hidden="1"/>
    </xf>
    <xf numFmtId="0" fontId="0" fillId="0" borderId="0" xfId="0"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0" xfId="0" applyAlignment="1" applyProtection="1">
      <alignment horizontal="left" vertical="center" shrinkToFit="1"/>
      <protection hidden="1"/>
    </xf>
    <xf numFmtId="0" fontId="0" fillId="0" borderId="0" xfId="0" applyAlignment="1" applyProtection="1">
      <alignment horizontal="left" vertical="top" wrapText="1"/>
      <protection hidden="1"/>
    </xf>
    <xf numFmtId="0" fontId="0" fillId="0" borderId="0" xfId="0" applyAlignment="1" applyProtection="1">
      <alignment horizontal="center" vertical="center"/>
      <protection hidden="1" locked="0"/>
    </xf>
    <xf numFmtId="0" fontId="118" fillId="0" borderId="0" xfId="0" applyFont="1" applyBorder="1" applyAlignment="1" applyProtection="1">
      <alignment horizontal="left" indent="18"/>
      <protection hidden="1"/>
    </xf>
    <xf numFmtId="0" fontId="118" fillId="0" borderId="0" xfId="0" applyFont="1" applyBorder="1" applyAlignment="1" applyProtection="1">
      <alignment horizontal="left" indent="13"/>
      <protection hidden="1"/>
    </xf>
    <xf numFmtId="0" fontId="126" fillId="0" borderId="46" xfId="0" applyFont="1" applyBorder="1" applyAlignment="1" applyProtection="1">
      <alignment horizontal="center" vertical="center"/>
      <protection hidden="1"/>
    </xf>
    <xf numFmtId="0" fontId="52" fillId="0" borderId="39" xfId="56" applyFont="1" applyBorder="1" applyAlignment="1" applyProtection="1">
      <alignment horizontal="center" vertical="center" textRotation="90" shrinkToFit="1"/>
      <protection hidden="1" locked="0"/>
    </xf>
    <xf numFmtId="0" fontId="16" fillId="0" borderId="0" xfId="56" applyFont="1" applyBorder="1" applyAlignment="1" applyProtection="1">
      <alignment horizontal="center" vertical="center"/>
      <protection hidden="1"/>
    </xf>
    <xf numFmtId="0" fontId="15" fillId="0" borderId="23" xfId="56" applyFont="1" applyBorder="1" applyAlignment="1" applyProtection="1">
      <alignment horizontal="left" indent="2"/>
      <protection hidden="1" locked="0"/>
    </xf>
    <xf numFmtId="0" fontId="2" fillId="0" borderId="0" xfId="56" applyBorder="1" applyAlignment="1" applyProtection="1">
      <alignment horizontal="center"/>
      <protection hidden="1"/>
    </xf>
    <xf numFmtId="0" fontId="16" fillId="0" borderId="17" xfId="56" applyFont="1" applyBorder="1" applyAlignment="1" applyProtection="1">
      <alignment horizontal="center" vertical="center"/>
      <protection hidden="1"/>
    </xf>
    <xf numFmtId="0" fontId="2" fillId="0" borderId="0" xfId="56" applyBorder="1" applyAlignment="1" applyProtection="1">
      <alignment horizontal="left" vertical="center"/>
      <protection hidden="1"/>
    </xf>
    <xf numFmtId="0" fontId="2" fillId="0" borderId="40" xfId="56" applyBorder="1" applyAlignment="1" applyProtection="1">
      <alignment horizontal="left" vertical="center"/>
      <protection hidden="1"/>
    </xf>
    <xf numFmtId="0" fontId="2" fillId="0" borderId="0" xfId="56" applyBorder="1" applyAlignment="1" applyProtection="1">
      <alignment horizontal="center" vertical="center"/>
      <protection hidden="1"/>
    </xf>
    <xf numFmtId="0" fontId="2" fillId="0" borderId="40" xfId="56" applyBorder="1" applyAlignment="1" applyProtection="1">
      <alignment horizontal="center" vertical="center"/>
      <protection hidden="1"/>
    </xf>
    <xf numFmtId="0" fontId="2" fillId="0" borderId="16" xfId="56" applyFont="1" applyBorder="1" applyAlignment="1" applyProtection="1">
      <alignment horizontal="center" wrapText="1"/>
      <protection hidden="1" locked="0"/>
    </xf>
    <xf numFmtId="49" fontId="2" fillId="0" borderId="13" xfId="56" applyNumberFormat="1" applyFont="1" applyBorder="1" applyAlignment="1" applyProtection="1">
      <alignment horizontal="center" vertical="center"/>
      <protection hidden="1" locked="0"/>
    </xf>
    <xf numFmtId="0" fontId="2" fillId="0" borderId="13" xfId="56" applyNumberFormat="1" applyFont="1" applyBorder="1" applyAlignment="1" applyProtection="1">
      <alignment horizontal="center" vertical="center"/>
      <protection hidden="1" locked="0"/>
    </xf>
    <xf numFmtId="0" fontId="2" fillId="0" borderId="0" xfId="56" applyAlignment="1" applyProtection="1">
      <alignment horizontal="left" vertical="center"/>
      <protection hidden="1"/>
    </xf>
    <xf numFmtId="0" fontId="2" fillId="0" borderId="12" xfId="56" applyBorder="1" applyAlignment="1" applyProtection="1">
      <alignment horizontal="left" vertical="center"/>
      <protection hidden="1"/>
    </xf>
    <xf numFmtId="2" fontId="2" fillId="0" borderId="0" xfId="56" applyNumberFormat="1" applyBorder="1" applyAlignment="1" applyProtection="1">
      <alignment horizontal="center" vertical="center"/>
      <protection hidden="1"/>
    </xf>
    <xf numFmtId="0" fontId="11" fillId="0" borderId="17" xfId="56" applyFont="1" applyFill="1" applyBorder="1" applyAlignment="1" applyProtection="1">
      <alignment horizontal="left" vertical="center"/>
      <protection hidden="1"/>
    </xf>
    <xf numFmtId="0" fontId="12" fillId="0" borderId="0" xfId="56" applyFont="1" applyBorder="1" applyAlignment="1" applyProtection="1">
      <alignment horizontal="left" vertical="center"/>
      <protection hidden="1"/>
    </xf>
    <xf numFmtId="0" fontId="2" fillId="0" borderId="22" xfId="56" applyBorder="1" applyAlignment="1" applyProtection="1">
      <alignment horizontal="center" vertical="center"/>
      <protection hidden="1"/>
    </xf>
    <xf numFmtId="0" fontId="2" fillId="0" borderId="16" xfId="56" applyFont="1" applyBorder="1" applyAlignment="1" applyProtection="1">
      <alignment horizontal="center" vertical="center" shrinkToFit="1"/>
      <protection hidden="1" locked="0"/>
    </xf>
    <xf numFmtId="0" fontId="8" fillId="0" borderId="0" xfId="56" applyFont="1" applyBorder="1" applyAlignment="1" applyProtection="1">
      <alignment horizontal="left" shrinkToFit="1"/>
      <protection hidden="1"/>
    </xf>
    <xf numFmtId="0" fontId="2" fillId="0" borderId="11" xfId="56" applyFont="1" applyBorder="1" applyAlignment="1" applyProtection="1">
      <alignment horizontal="center" vertical="center" shrinkToFit="1"/>
      <protection hidden="1"/>
    </xf>
    <xf numFmtId="0" fontId="2" fillId="0" borderId="0" xfId="56" applyFont="1" applyBorder="1" applyAlignment="1" applyProtection="1">
      <alignment horizontal="center" vertical="center" shrinkToFit="1"/>
      <protection hidden="1"/>
    </xf>
    <xf numFmtId="0" fontId="2" fillId="0" borderId="12" xfId="56" applyFont="1" applyBorder="1" applyAlignment="1" applyProtection="1">
      <alignment horizontal="center" vertical="center" shrinkToFit="1"/>
      <protection hidden="1"/>
    </xf>
    <xf numFmtId="0" fontId="21" fillId="0" borderId="0" xfId="56" applyFont="1" applyBorder="1" applyAlignment="1" applyProtection="1">
      <alignment horizontal="center" vertical="center"/>
      <protection hidden="1"/>
    </xf>
    <xf numFmtId="0" fontId="20" fillId="0" borderId="0" xfId="56" applyFont="1" applyBorder="1" applyAlignment="1" applyProtection="1">
      <alignment horizontal="center" vertical="top"/>
      <protection hidden="1"/>
    </xf>
    <xf numFmtId="0" fontId="48" fillId="0" borderId="23" xfId="56" applyFont="1" applyBorder="1" applyAlignment="1" applyProtection="1">
      <alignment horizontal="center" vertical="center" wrapText="1"/>
      <protection hidden="1"/>
    </xf>
    <xf numFmtId="0" fontId="13" fillId="0" borderId="23" xfId="56" applyFont="1" applyBorder="1" applyAlignment="1" applyProtection="1">
      <alignment horizontal="left"/>
      <protection hidden="1"/>
    </xf>
    <xf numFmtId="0" fontId="2" fillId="0" borderId="23" xfId="56" applyBorder="1" applyAlignment="1" applyProtection="1">
      <alignment horizontal="center" vertical="center"/>
      <protection hidden="1"/>
    </xf>
    <xf numFmtId="0" fontId="2" fillId="0" borderId="52" xfId="56" applyBorder="1" applyAlignment="1" applyProtection="1">
      <alignment horizontal="center" vertical="center"/>
      <protection hidden="1"/>
    </xf>
    <xf numFmtId="0" fontId="2" fillId="0" borderId="20" xfId="56" applyBorder="1" applyAlignment="1" applyProtection="1">
      <alignment horizontal="center" vertical="center"/>
      <protection hidden="1"/>
    </xf>
    <xf numFmtId="0" fontId="2" fillId="0" borderId="14" xfId="56" applyBorder="1" applyAlignment="1" applyProtection="1">
      <alignment horizontal="center" vertical="center"/>
      <protection hidden="1"/>
    </xf>
    <xf numFmtId="0" fontId="2" fillId="0" borderId="16" xfId="56" applyFont="1" applyBorder="1" applyAlignment="1" applyProtection="1">
      <alignment horizontal="center"/>
      <protection hidden="1" locked="0"/>
    </xf>
    <xf numFmtId="0" fontId="0" fillId="0" borderId="30" xfId="0" applyBorder="1" applyAlignment="1" applyProtection="1">
      <alignment horizontal="center" vertical="top" wrapText="1"/>
      <protection hidden="1" locked="0"/>
    </xf>
    <xf numFmtId="0" fontId="0" fillId="0" borderId="28" xfId="0" applyBorder="1" applyAlignment="1" applyProtection="1">
      <alignment horizontal="center" vertical="top" wrapText="1"/>
      <protection hidden="1" locked="0"/>
    </xf>
    <xf numFmtId="0" fontId="119" fillId="0" borderId="57" xfId="0" applyFont="1" applyBorder="1" applyAlignment="1" applyProtection="1">
      <alignment horizontal="left" vertical="top"/>
      <protection hidden="1"/>
    </xf>
    <xf numFmtId="0" fontId="119" fillId="0" borderId="32" xfId="0" applyFont="1" applyBorder="1" applyAlignment="1" applyProtection="1">
      <alignment horizontal="left" vertical="top"/>
      <protection hidden="1"/>
    </xf>
    <xf numFmtId="0" fontId="136" fillId="0" borderId="39" xfId="0" applyFont="1" applyBorder="1" applyAlignment="1" applyProtection="1">
      <alignment horizontal="center"/>
      <protection hidden="1"/>
    </xf>
    <xf numFmtId="0" fontId="136" fillId="0" borderId="0" xfId="0" applyFont="1" applyBorder="1" applyAlignment="1" applyProtection="1">
      <alignment horizontal="center"/>
      <protection hidden="1"/>
    </xf>
    <xf numFmtId="0" fontId="136" fillId="0" borderId="40" xfId="0" applyFont="1" applyBorder="1" applyAlignment="1" applyProtection="1">
      <alignment horizontal="center"/>
      <protection hidden="1"/>
    </xf>
    <xf numFmtId="0" fontId="133" fillId="0" borderId="58" xfId="0" applyFont="1" applyBorder="1" applyAlignment="1" applyProtection="1">
      <alignment horizontal="center"/>
      <protection hidden="1"/>
    </xf>
    <xf numFmtId="0" fontId="133" fillId="0" borderId="59" xfId="0" applyFont="1" applyBorder="1" applyAlignment="1" applyProtection="1">
      <alignment horizontal="center"/>
      <protection hidden="1"/>
    </xf>
    <xf numFmtId="0" fontId="133" fillId="0" borderId="60" xfId="0" applyFont="1" applyBorder="1" applyAlignment="1" applyProtection="1">
      <alignment horizontal="center"/>
      <protection hidden="1"/>
    </xf>
    <xf numFmtId="0" fontId="119" fillId="0" borderId="61" xfId="0" applyFont="1" applyBorder="1" applyAlignment="1" applyProtection="1">
      <alignment horizontal="left" vertical="top" wrapText="1"/>
      <protection hidden="1"/>
    </xf>
    <xf numFmtId="0" fontId="119" fillId="0" borderId="62" xfId="0" applyFont="1" applyBorder="1" applyAlignment="1" applyProtection="1">
      <alignment horizontal="left" vertical="top" wrapText="1"/>
      <protection hidden="1"/>
    </xf>
    <xf numFmtId="0" fontId="119" fillId="0" borderId="63" xfId="0" applyFont="1" applyBorder="1" applyAlignment="1" applyProtection="1">
      <alignment horizontal="left" vertical="top" wrapText="1"/>
      <protection hidden="1"/>
    </xf>
    <xf numFmtId="0" fontId="119" fillId="0" borderId="27" xfId="0" applyFont="1" applyBorder="1" applyAlignment="1" applyProtection="1">
      <alignment horizontal="left" vertical="top" wrapText="1"/>
      <protection hidden="1"/>
    </xf>
    <xf numFmtId="0" fontId="119" fillId="0" borderId="64" xfId="0" applyFont="1" applyBorder="1" applyAlignment="1" applyProtection="1">
      <alignment horizontal="left" vertical="top" wrapText="1"/>
      <protection hidden="1"/>
    </xf>
    <xf numFmtId="0" fontId="119" fillId="0" borderId="65" xfId="0" applyFont="1" applyBorder="1" applyAlignment="1" applyProtection="1">
      <alignment horizontal="left" vertical="top" wrapText="1"/>
      <protection hidden="1"/>
    </xf>
    <xf numFmtId="0" fontId="53" fillId="0" borderId="39" xfId="57" applyFont="1" applyBorder="1" applyAlignment="1" applyProtection="1">
      <alignment horizontal="left" vertical="top" wrapText="1"/>
      <protection hidden="1"/>
    </xf>
    <xf numFmtId="0" fontId="54" fillId="0" borderId="0" xfId="56" applyFont="1" applyBorder="1" applyProtection="1">
      <alignment/>
      <protection hidden="1"/>
    </xf>
    <xf numFmtId="0" fontId="54" fillId="0" borderId="40" xfId="56" applyFont="1" applyBorder="1" applyProtection="1">
      <alignment/>
      <protection hidden="1"/>
    </xf>
    <xf numFmtId="0" fontId="54" fillId="0" borderId="43" xfId="56" applyFont="1" applyBorder="1" applyProtection="1">
      <alignment/>
      <protection hidden="1"/>
    </xf>
    <xf numFmtId="0" fontId="54" fillId="0" borderId="16" xfId="56" applyFont="1" applyBorder="1" applyProtection="1">
      <alignment/>
      <protection hidden="1"/>
    </xf>
    <xf numFmtId="0" fontId="54" fillId="0" borderId="44" xfId="56" applyFont="1" applyBorder="1" applyProtection="1">
      <alignment/>
      <protection hidden="1"/>
    </xf>
    <xf numFmtId="0" fontId="26" fillId="0" borderId="23" xfId="57" applyFont="1" applyBorder="1" applyAlignment="1" applyProtection="1">
      <alignment horizontal="left" shrinkToFit="1"/>
      <protection hidden="1"/>
    </xf>
    <xf numFmtId="0" fontId="26" fillId="0" borderId="53" xfId="57" applyFont="1" applyBorder="1" applyAlignment="1" applyProtection="1">
      <alignment horizontal="left" shrinkToFit="1"/>
      <protection hidden="1"/>
    </xf>
    <xf numFmtId="0" fontId="2" fillId="0" borderId="39" xfId="57" applyBorder="1" applyAlignment="1" applyProtection="1">
      <alignment horizontal="center"/>
      <protection hidden="1"/>
    </xf>
    <xf numFmtId="0" fontId="2" fillId="0" borderId="0" xfId="57" applyBorder="1" applyAlignment="1" applyProtection="1">
      <alignment horizontal="center"/>
      <protection hidden="1"/>
    </xf>
    <xf numFmtId="0" fontId="2" fillId="0" borderId="0" xfId="57" applyFont="1" applyBorder="1" applyAlignment="1" applyProtection="1">
      <alignment horizontal="center" vertical="center"/>
      <protection hidden="1"/>
    </xf>
    <xf numFmtId="0" fontId="2" fillId="0" borderId="40" xfId="57" applyFont="1" applyBorder="1" applyAlignment="1" applyProtection="1">
      <alignment horizontal="center" vertical="center"/>
      <protection hidden="1"/>
    </xf>
    <xf numFmtId="0" fontId="2" fillId="0" borderId="0" xfId="57" applyBorder="1" applyAlignment="1" applyProtection="1">
      <alignment horizontal="center" vertical="center"/>
      <protection hidden="1"/>
    </xf>
    <xf numFmtId="0" fontId="26" fillId="0" borderId="29" xfId="57" applyFont="1" applyBorder="1" applyAlignment="1" applyProtection="1">
      <alignment shrinkToFit="1"/>
      <protection hidden="1"/>
    </xf>
    <xf numFmtId="0" fontId="0" fillId="0" borderId="29" xfId="0" applyBorder="1" applyAlignment="1" applyProtection="1">
      <alignment shrinkToFit="1"/>
      <protection hidden="1"/>
    </xf>
    <xf numFmtId="2" fontId="33" fillId="0" borderId="29" xfId="57" applyNumberFormat="1" applyFont="1" applyBorder="1" applyAlignment="1" applyProtection="1">
      <alignment horizontal="center"/>
      <protection hidden="1"/>
    </xf>
    <xf numFmtId="0" fontId="33" fillId="0" borderId="66" xfId="57" applyFont="1" applyBorder="1" applyAlignment="1" applyProtection="1">
      <alignment horizontal="center"/>
      <protection hidden="1"/>
    </xf>
    <xf numFmtId="0" fontId="33" fillId="0" borderId="29" xfId="57" applyFont="1" applyBorder="1" applyAlignment="1" applyProtection="1">
      <alignment horizontal="center"/>
      <protection hidden="1"/>
    </xf>
    <xf numFmtId="0" fontId="33" fillId="0" borderId="23" xfId="57" applyFont="1" applyBorder="1" applyAlignment="1" applyProtection="1">
      <alignment horizontal="center"/>
      <protection hidden="1"/>
    </xf>
    <xf numFmtId="2" fontId="8" fillId="0" borderId="23" xfId="57" applyNumberFormat="1" applyFont="1" applyBorder="1" applyAlignment="1" applyProtection="1">
      <alignment horizontal="center"/>
      <protection hidden="1"/>
    </xf>
    <xf numFmtId="0" fontId="2" fillId="0" borderId="0" xfId="57" applyFont="1" applyBorder="1" applyAlignment="1" applyProtection="1">
      <alignment horizontal="right"/>
      <protection hidden="1"/>
    </xf>
    <xf numFmtId="2" fontId="8" fillId="0" borderId="53" xfId="57" applyNumberFormat="1" applyFont="1" applyBorder="1" applyAlignment="1" applyProtection="1">
      <alignment horizontal="center"/>
      <protection hidden="1"/>
    </xf>
    <xf numFmtId="0" fontId="2" fillId="0" borderId="18" xfId="57" applyBorder="1" applyAlignment="1" applyProtection="1">
      <alignment horizontal="center" vertical="center"/>
      <protection hidden="1"/>
    </xf>
    <xf numFmtId="0" fontId="2" fillId="0" borderId="19" xfId="57" applyBorder="1" applyAlignment="1" applyProtection="1">
      <alignment horizontal="center" vertical="center"/>
      <protection hidden="1"/>
    </xf>
    <xf numFmtId="0" fontId="2" fillId="0" borderId="21" xfId="57" applyBorder="1" applyAlignment="1" applyProtection="1">
      <alignment horizontal="center" vertical="center"/>
      <protection hidden="1"/>
    </xf>
    <xf numFmtId="0" fontId="2" fillId="0" borderId="10" xfId="57" applyBorder="1" applyAlignment="1" applyProtection="1">
      <alignment horizontal="center" vertical="center"/>
      <protection hidden="1"/>
    </xf>
    <xf numFmtId="0" fontId="2" fillId="0" borderId="15" xfId="57" applyBorder="1" applyAlignment="1" applyProtection="1">
      <alignment horizontal="center" vertical="center"/>
      <protection hidden="1"/>
    </xf>
    <xf numFmtId="0" fontId="2" fillId="0" borderId="67" xfId="57" applyBorder="1" applyAlignment="1" applyProtection="1">
      <alignment horizontal="center" vertical="center"/>
      <protection hidden="1"/>
    </xf>
    <xf numFmtId="0" fontId="2" fillId="0" borderId="17" xfId="57" applyBorder="1" applyAlignment="1" applyProtection="1">
      <alignment horizontal="center" vertical="center"/>
      <protection hidden="1"/>
    </xf>
    <xf numFmtId="0" fontId="2" fillId="0" borderId="16" xfId="57" applyBorder="1" applyAlignment="1" applyProtection="1">
      <alignment horizontal="center" vertical="center"/>
      <protection hidden="1"/>
    </xf>
    <xf numFmtId="0" fontId="2" fillId="0" borderId="48" xfId="57" applyBorder="1" applyAlignment="1" applyProtection="1">
      <alignment horizontal="center" vertical="center"/>
      <protection hidden="1"/>
    </xf>
    <xf numFmtId="0" fontId="2" fillId="0" borderId="44" xfId="57" applyBorder="1" applyAlignment="1" applyProtection="1">
      <alignment horizontal="center" vertical="center"/>
      <protection hidden="1"/>
    </xf>
    <xf numFmtId="0" fontId="2" fillId="0" borderId="52" xfId="57" applyBorder="1" applyAlignment="1" applyProtection="1">
      <alignment horizontal="center" vertical="center"/>
      <protection hidden="1"/>
    </xf>
    <xf numFmtId="0" fontId="2" fillId="0" borderId="14" xfId="57" applyBorder="1" applyAlignment="1" applyProtection="1">
      <alignment horizontal="center" vertical="center"/>
      <protection hidden="1"/>
    </xf>
    <xf numFmtId="0" fontId="2" fillId="0" borderId="20" xfId="57" applyBorder="1" applyAlignment="1" applyProtection="1">
      <alignment horizontal="center" vertical="center"/>
      <protection hidden="1"/>
    </xf>
    <xf numFmtId="0" fontId="53" fillId="0" borderId="0" xfId="57" applyFont="1" applyBorder="1" applyAlignment="1" applyProtection="1">
      <alignment horizontal="left" vertical="top" wrapText="1"/>
      <protection hidden="1"/>
    </xf>
    <xf numFmtId="0" fontId="53" fillId="0" borderId="40" xfId="57" applyFont="1" applyBorder="1" applyAlignment="1" applyProtection="1">
      <alignment horizontal="left" vertical="top" wrapText="1"/>
      <protection hidden="1"/>
    </xf>
    <xf numFmtId="0" fontId="53" fillId="0" borderId="43" xfId="57" applyFont="1" applyBorder="1" applyAlignment="1" applyProtection="1">
      <alignment horizontal="left" vertical="top" wrapText="1"/>
      <protection hidden="1"/>
    </xf>
    <xf numFmtId="0" fontId="53" fillId="0" borderId="16" xfId="57" applyFont="1" applyBorder="1" applyAlignment="1" applyProtection="1">
      <alignment horizontal="left" vertical="top" wrapText="1"/>
      <protection hidden="1"/>
    </xf>
    <xf numFmtId="0" fontId="53" fillId="0" borderId="44" xfId="57" applyFont="1" applyBorder="1" applyAlignment="1" applyProtection="1">
      <alignment horizontal="left" vertical="top" wrapText="1"/>
      <protection hidden="1"/>
    </xf>
    <xf numFmtId="0" fontId="2" fillId="0" borderId="0" xfId="57" applyFont="1" applyBorder="1" applyAlignment="1" applyProtection="1">
      <alignment horizontal="center" vertical="center" shrinkToFit="1"/>
      <protection hidden="1"/>
    </xf>
    <xf numFmtId="0" fontId="2" fillId="0" borderId="0" xfId="57" applyBorder="1" applyAlignment="1" applyProtection="1">
      <alignment horizontal="center" vertical="center" shrinkToFit="1"/>
      <protection hidden="1"/>
    </xf>
    <xf numFmtId="0" fontId="50" fillId="0" borderId="16" xfId="57" applyFont="1" applyBorder="1" applyAlignment="1" applyProtection="1">
      <alignment horizontal="center" shrinkToFit="1"/>
      <protection hidden="1"/>
    </xf>
    <xf numFmtId="0" fontId="2" fillId="0" borderId="23" xfId="57" applyBorder="1" applyAlignment="1" applyProtection="1">
      <alignment horizontal="center" vertical="center"/>
      <protection hidden="1"/>
    </xf>
    <xf numFmtId="0" fontId="28" fillId="0" borderId="66" xfId="57" applyFont="1" applyBorder="1" applyAlignment="1" applyProtection="1">
      <alignment horizontal="left"/>
      <protection hidden="1"/>
    </xf>
    <xf numFmtId="0" fontId="28" fillId="0" borderId="23" xfId="57" applyFont="1" applyBorder="1" applyAlignment="1" applyProtection="1">
      <alignment horizontal="left"/>
      <protection hidden="1"/>
    </xf>
    <xf numFmtId="49" fontId="2" fillId="0" borderId="52" xfId="57" applyNumberFormat="1" applyBorder="1" applyAlignment="1" applyProtection="1">
      <alignment horizontal="center" vertical="center"/>
      <protection hidden="1"/>
    </xf>
    <xf numFmtId="49" fontId="2" fillId="0" borderId="20" xfId="57" applyNumberFormat="1" applyBorder="1" applyAlignment="1" applyProtection="1">
      <alignment horizontal="center" vertical="center"/>
      <protection hidden="1"/>
    </xf>
    <xf numFmtId="49" fontId="2" fillId="0" borderId="14" xfId="57" applyNumberFormat="1" applyBorder="1" applyAlignment="1" applyProtection="1">
      <alignment horizontal="center" vertical="center"/>
      <protection hidden="1"/>
    </xf>
    <xf numFmtId="0" fontId="50" fillId="0" borderId="44" xfId="57" applyFont="1" applyBorder="1" applyAlignment="1" applyProtection="1">
      <alignment horizontal="center" shrinkToFit="1"/>
      <protection hidden="1"/>
    </xf>
    <xf numFmtId="0" fontId="8" fillId="0" borderId="0" xfId="57" applyFont="1" applyBorder="1" applyAlignment="1" applyProtection="1">
      <alignment horizontal="left" vertical="top" wrapText="1"/>
      <protection hidden="1"/>
    </xf>
    <xf numFmtId="0" fontId="8" fillId="0" borderId="40" xfId="57" applyFont="1" applyBorder="1" applyAlignment="1" applyProtection="1">
      <alignment horizontal="left" vertical="top" wrapText="1"/>
      <protection hidden="1"/>
    </xf>
    <xf numFmtId="0" fontId="16" fillId="0" borderId="20" xfId="57" applyFont="1" applyBorder="1" applyAlignment="1" applyProtection="1">
      <alignment horizontal="center" shrinkToFit="1"/>
      <protection hidden="1"/>
    </xf>
    <xf numFmtId="0" fontId="16" fillId="0" borderId="68" xfId="57" applyFont="1" applyBorder="1" applyAlignment="1" applyProtection="1">
      <alignment horizontal="center" shrinkToFit="1"/>
      <protection hidden="1"/>
    </xf>
    <xf numFmtId="0" fontId="2" fillId="0" borderId="0" xfId="57" applyFont="1" applyBorder="1" applyAlignment="1" applyProtection="1">
      <alignment horizontal="center" shrinkToFit="1"/>
      <protection hidden="1"/>
    </xf>
    <xf numFmtId="0" fontId="12" fillId="0" borderId="0" xfId="57" applyFont="1" applyBorder="1" applyAlignment="1" applyProtection="1">
      <alignment horizontal="left" vertical="center" wrapText="1"/>
      <protection hidden="1"/>
    </xf>
    <xf numFmtId="0" fontId="23" fillId="0" borderId="45" xfId="57" applyFont="1" applyBorder="1" applyAlignment="1" applyProtection="1">
      <alignment horizontal="center"/>
      <protection hidden="1"/>
    </xf>
    <xf numFmtId="0" fontId="23" fillId="0" borderId="46" xfId="57" applyFont="1" applyBorder="1" applyAlignment="1" applyProtection="1">
      <alignment horizontal="center"/>
      <protection hidden="1"/>
    </xf>
    <xf numFmtId="0" fontId="23" fillId="0" borderId="47" xfId="57" applyFont="1" applyBorder="1" applyAlignment="1" applyProtection="1">
      <alignment horizontal="center"/>
      <protection hidden="1"/>
    </xf>
    <xf numFmtId="0" fontId="27" fillId="0" borderId="45" xfId="57" applyFont="1" applyBorder="1" applyAlignment="1" applyProtection="1">
      <alignment horizontal="center" vertical="center"/>
      <protection hidden="1"/>
    </xf>
    <xf numFmtId="0" fontId="27" fillId="0" borderId="46" xfId="57" applyFont="1" applyBorder="1" applyAlignment="1" applyProtection="1">
      <alignment horizontal="center" vertical="center"/>
      <protection hidden="1"/>
    </xf>
    <xf numFmtId="0" fontId="27" fillId="0" borderId="47" xfId="57" applyFont="1" applyBorder="1" applyAlignment="1" applyProtection="1">
      <alignment horizontal="center" vertical="center"/>
      <protection hidden="1"/>
    </xf>
    <xf numFmtId="0" fontId="14" fillId="0" borderId="17" xfId="57" applyFont="1" applyBorder="1" applyAlignment="1" applyProtection="1">
      <alignment horizontal="center" vertical="top" shrinkToFit="1"/>
      <protection hidden="1"/>
    </xf>
    <xf numFmtId="0" fontId="14" fillId="0" borderId="48" xfId="57" applyFont="1" applyBorder="1" applyAlignment="1" applyProtection="1">
      <alignment horizontal="center" vertical="top" shrinkToFit="1"/>
      <protection hidden="1"/>
    </xf>
    <xf numFmtId="0" fontId="133" fillId="0" borderId="58" xfId="0" applyFont="1" applyBorder="1" applyAlignment="1" applyProtection="1">
      <alignment horizontal="center" vertical="top"/>
      <protection hidden="1"/>
    </xf>
    <xf numFmtId="0" fontId="133" fillId="0" borderId="59" xfId="0" applyFont="1" applyBorder="1" applyAlignment="1" applyProtection="1">
      <alignment horizontal="center" vertical="top"/>
      <protection hidden="1"/>
    </xf>
    <xf numFmtId="0" fontId="133" fillId="0" borderId="60" xfId="0" applyFont="1" applyBorder="1" applyAlignment="1" applyProtection="1">
      <alignment horizontal="center" vertical="top"/>
      <protection hidden="1"/>
    </xf>
    <xf numFmtId="0" fontId="34" fillId="0" borderId="0" xfId="61" applyFont="1" applyAlignment="1" applyProtection="1">
      <alignment horizontal="center" shrinkToFit="1"/>
      <protection hidden="1"/>
    </xf>
    <xf numFmtId="0" fontId="137" fillId="0" borderId="0" xfId="0" applyFont="1" applyAlignment="1">
      <alignment horizontal="left" vertical="top" wrapText="1"/>
    </xf>
    <xf numFmtId="0" fontId="34" fillId="0" borderId="0" xfId="61" applyFont="1" applyBorder="1" applyAlignment="1" applyProtection="1">
      <alignment horizontal="right" vertical="top" wrapText="1"/>
      <protection hidden="1"/>
    </xf>
    <xf numFmtId="0" fontId="55" fillId="0" borderId="0" xfId="61" applyFont="1" applyBorder="1" applyAlignment="1" applyProtection="1">
      <alignment horizontal="center" vertical="top"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rmal 6" xfId="61"/>
    <cellStyle name="Note" xfId="62"/>
    <cellStyle name="Output" xfId="63"/>
    <cellStyle name="Percent" xfId="64"/>
    <cellStyle name="Style 1" xfId="65"/>
    <cellStyle name="Title" xfId="66"/>
    <cellStyle name="Total" xfId="67"/>
    <cellStyle name="Warning Text" xfId="68"/>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oceedings!A1" /><Relationship Id="rId2" Type="http://schemas.openxmlformats.org/officeDocument/2006/relationships/hyperlink" Target="#'Calculation sheet'!A1" /><Relationship Id="rId3" Type="http://schemas.openxmlformats.org/officeDocument/2006/relationships/hyperlink" Target="#'ANNEXURE C'!A1" /><Relationship Id="rId4" Type="http://schemas.openxmlformats.org/officeDocument/2006/relationships/hyperlink" Target="#'Annexure C (back page)'!A1" /><Relationship Id="rId5" Type="http://schemas.openxmlformats.org/officeDocument/2006/relationships/hyperlink" Target="#'APTC Form 40-(P)'!A1" /><Relationship Id="rId6" Type="http://schemas.openxmlformats.org/officeDocument/2006/relationships/hyperlink" Target="#'APTC Form 40-(P)back page'!A1" /><Relationship Id="rId7" Type="http://schemas.openxmlformats.org/officeDocument/2006/relationships/hyperlink" Target="#'APTC Form 40 (I)'!A1" /><Relationship Id="rId8" Type="http://schemas.openxmlformats.org/officeDocument/2006/relationships/hyperlink" Target="#'APTC Form 40 back page (I)'!A1" /><Relationship Id="rId9" Type="http://schemas.openxmlformats.org/officeDocument/2006/relationships/hyperlink" Target="#'Paper Token101(P)'!A1" /><Relationship Id="rId10" Type="http://schemas.openxmlformats.org/officeDocument/2006/relationships/hyperlink" Target="#'Paper Token101 (I)'!A1" /><Relationship Id="rId11" Type="http://schemas.openxmlformats.org/officeDocument/2006/relationships/hyperlink" Target="#'Proceedings (Insurance)'!A1" /></Relationships>
</file>

<file path=xl/drawings/_rels/drawing10.xml.rels><?xml version="1.0" encoding="utf-8" standalone="yes"?><Relationships xmlns="http://schemas.openxmlformats.org/package/2006/relationships"><Relationship Id="rId1" Type="http://schemas.openxmlformats.org/officeDocument/2006/relationships/hyperlink" Target="#Data!A1" /></Relationships>
</file>

<file path=xl/drawings/_rels/drawing11.xml.rels><?xml version="1.0" encoding="utf-8" standalone="yes"?><Relationships xmlns="http://schemas.openxmlformats.org/package/2006/relationships"><Relationship Id="rId1" Type="http://schemas.openxmlformats.org/officeDocument/2006/relationships/hyperlink" Target="#Data!A1" /></Relationships>
</file>

<file path=xl/drawings/_rels/drawing12.xml.rels><?xml version="1.0" encoding="utf-8" standalone="yes"?><Relationships xmlns="http://schemas.openxmlformats.org/package/2006/relationships"><Relationship Id="rId1" Type="http://schemas.openxmlformats.org/officeDocument/2006/relationships/hyperlink" Target="#Data!A1" /></Relationships>
</file>

<file path=xl/drawings/_rels/drawing13.xml.rels><?xml version="1.0" encoding="utf-8" standalone="yes"?><Relationships xmlns="http://schemas.openxmlformats.org/package/2006/relationships"><Relationship Id="rId1" Type="http://schemas.openxmlformats.org/officeDocument/2006/relationships/hyperlink" Target="#Data!A1" /></Relationships>
</file>

<file path=xl/drawings/_rels/drawing14.xml.rels><?xml version="1.0" encoding="utf-8" standalone="yes"?><Relationships xmlns="http://schemas.openxmlformats.org/package/2006/relationships"><Relationship Id="rId1" Type="http://schemas.openxmlformats.org/officeDocument/2006/relationships/hyperlink" Target="#Data!A1" /></Relationships>
</file>

<file path=xl/drawings/_rels/drawing15.xml.rels><?xml version="1.0" encoding="utf-8" standalone="yes"?><Relationships xmlns="http://schemas.openxmlformats.org/package/2006/relationships"><Relationship Id="rId1" Type="http://schemas.openxmlformats.org/officeDocument/2006/relationships/hyperlink" Target="#Data!A1" /></Relationships>
</file>

<file path=xl/drawings/_rels/drawing2.xml.rels><?xml version="1.0" encoding="utf-8" standalone="yes"?><Relationships xmlns="http://schemas.openxmlformats.org/package/2006/relationships"><Relationship Id="rId1" Type="http://schemas.openxmlformats.org/officeDocument/2006/relationships/hyperlink" Target="#Data!A1" /></Relationships>
</file>

<file path=xl/drawings/_rels/drawing3.xml.rels><?xml version="1.0" encoding="utf-8" standalone="yes"?><Relationships xmlns="http://schemas.openxmlformats.org/package/2006/relationships"><Relationship Id="rId1"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s>
</file>

<file path=xl/drawings/_rels/drawing9.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9525</xdr:rowOff>
    </xdr:from>
    <xdr:to>
      <xdr:col>6</xdr:col>
      <xdr:colOff>495300</xdr:colOff>
      <xdr:row>4</xdr:row>
      <xdr:rowOff>57150</xdr:rowOff>
    </xdr:to>
    <xdr:sp macro="[0]!RoundedRectangle1_Click">
      <xdr:nvSpPr>
        <xdr:cNvPr id="1" name="Rounded Rectangle 1">
          <a:hlinkClick r:id="rId1"/>
        </xdr:cNvPr>
        <xdr:cNvSpPr>
          <a:spLocks/>
        </xdr:cNvSpPr>
      </xdr:nvSpPr>
      <xdr:spPr>
        <a:xfrm>
          <a:off x="6257925" y="1323975"/>
          <a:ext cx="1543050"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CC00"/>
              </a:solidFill>
              <a:latin typeface="Calibri"/>
              <a:ea typeface="Calibri"/>
              <a:cs typeface="Calibri"/>
            </a:rPr>
            <a:t>Proceedings</a:t>
          </a:r>
        </a:p>
      </xdr:txBody>
    </xdr:sp>
    <xdr:clientData/>
  </xdr:twoCellAnchor>
  <xdr:twoCellAnchor>
    <xdr:from>
      <xdr:col>5</xdr:col>
      <xdr:colOff>47625</xdr:colOff>
      <xdr:row>4</xdr:row>
      <xdr:rowOff>200025</xdr:rowOff>
    </xdr:from>
    <xdr:to>
      <xdr:col>6</xdr:col>
      <xdr:colOff>485775</xdr:colOff>
      <xdr:row>5</xdr:row>
      <xdr:rowOff>247650</xdr:rowOff>
    </xdr:to>
    <xdr:sp>
      <xdr:nvSpPr>
        <xdr:cNvPr id="2" name="Rounded Rectangle 2">
          <a:hlinkClick r:id="rId2"/>
        </xdr:cNvPr>
        <xdr:cNvSpPr>
          <a:spLocks/>
        </xdr:cNvSpPr>
      </xdr:nvSpPr>
      <xdr:spPr>
        <a:xfrm>
          <a:off x="6257925" y="1781175"/>
          <a:ext cx="153352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200" b="1" i="0" u="none" baseline="0">
              <a:solidFill>
                <a:srgbClr val="FFCC00"/>
              </a:solidFill>
              <a:latin typeface="Calibri"/>
              <a:ea typeface="Calibri"/>
              <a:cs typeface="Calibri"/>
            </a:rPr>
            <a:t>Calculation Sheet</a:t>
          </a:r>
        </a:p>
      </xdr:txBody>
    </xdr:sp>
    <xdr:clientData/>
  </xdr:twoCellAnchor>
  <xdr:twoCellAnchor>
    <xdr:from>
      <xdr:col>5</xdr:col>
      <xdr:colOff>47625</xdr:colOff>
      <xdr:row>6</xdr:row>
      <xdr:rowOff>95250</xdr:rowOff>
    </xdr:from>
    <xdr:to>
      <xdr:col>6</xdr:col>
      <xdr:colOff>504825</xdr:colOff>
      <xdr:row>7</xdr:row>
      <xdr:rowOff>142875</xdr:rowOff>
    </xdr:to>
    <xdr:sp>
      <xdr:nvSpPr>
        <xdr:cNvPr id="3" name="Rounded Rectangle 3">
          <a:hlinkClick r:id="rId3"/>
        </xdr:cNvPr>
        <xdr:cNvSpPr>
          <a:spLocks/>
        </xdr:cNvSpPr>
      </xdr:nvSpPr>
      <xdr:spPr>
        <a:xfrm>
          <a:off x="6257925" y="2209800"/>
          <a:ext cx="155257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CC00"/>
              </a:solidFill>
              <a:latin typeface="Calibri"/>
              <a:ea typeface="Calibri"/>
              <a:cs typeface="Calibri"/>
            </a:rPr>
            <a:t>Annexure-C</a:t>
          </a:r>
        </a:p>
      </xdr:txBody>
    </xdr:sp>
    <xdr:clientData/>
  </xdr:twoCellAnchor>
  <xdr:twoCellAnchor>
    <xdr:from>
      <xdr:col>5</xdr:col>
      <xdr:colOff>47625</xdr:colOff>
      <xdr:row>7</xdr:row>
      <xdr:rowOff>276225</xdr:rowOff>
    </xdr:from>
    <xdr:to>
      <xdr:col>6</xdr:col>
      <xdr:colOff>485775</xdr:colOff>
      <xdr:row>8</xdr:row>
      <xdr:rowOff>76200</xdr:rowOff>
    </xdr:to>
    <xdr:sp>
      <xdr:nvSpPr>
        <xdr:cNvPr id="4" name="Rounded Rectangle 4">
          <a:hlinkClick r:id="rId4"/>
        </xdr:cNvPr>
        <xdr:cNvSpPr>
          <a:spLocks/>
        </xdr:cNvSpPr>
      </xdr:nvSpPr>
      <xdr:spPr>
        <a:xfrm>
          <a:off x="6257925" y="2657475"/>
          <a:ext cx="153352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200" b="1" i="0" u="none" baseline="0">
              <a:solidFill>
                <a:srgbClr val="FFCC00"/>
              </a:solidFill>
              <a:latin typeface="Calibri"/>
              <a:ea typeface="Calibri"/>
              <a:cs typeface="Calibri"/>
            </a:rPr>
            <a:t>Annexure-C-Back</a:t>
          </a:r>
        </a:p>
      </xdr:txBody>
    </xdr:sp>
    <xdr:clientData/>
  </xdr:twoCellAnchor>
  <xdr:twoCellAnchor>
    <xdr:from>
      <xdr:col>5</xdr:col>
      <xdr:colOff>47625</xdr:colOff>
      <xdr:row>8</xdr:row>
      <xdr:rowOff>209550</xdr:rowOff>
    </xdr:from>
    <xdr:to>
      <xdr:col>6</xdr:col>
      <xdr:colOff>495300</xdr:colOff>
      <xdr:row>9</xdr:row>
      <xdr:rowOff>9525</xdr:rowOff>
    </xdr:to>
    <xdr:sp>
      <xdr:nvSpPr>
        <xdr:cNvPr id="5" name="Rounded Rectangle 5">
          <a:hlinkClick r:id="rId5"/>
        </xdr:cNvPr>
        <xdr:cNvSpPr>
          <a:spLocks/>
        </xdr:cNvSpPr>
      </xdr:nvSpPr>
      <xdr:spPr>
        <a:xfrm>
          <a:off x="6257925" y="3105150"/>
          <a:ext cx="1543050"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200" b="1" i="0" u="none" baseline="0">
              <a:solidFill>
                <a:srgbClr val="FFCC00"/>
              </a:solidFill>
              <a:latin typeface="Calibri"/>
              <a:ea typeface="Calibri"/>
              <a:cs typeface="Calibri"/>
            </a:rPr>
            <a:t>Form-40</a:t>
          </a:r>
          <a:r>
            <a:rPr lang="en-US" cap="none" sz="1200" b="1" i="0" u="none" baseline="0">
              <a:solidFill>
                <a:srgbClr val="FFCC00"/>
              </a:solidFill>
              <a:latin typeface="Calibri"/>
              <a:ea typeface="Calibri"/>
              <a:cs typeface="Calibri"/>
            </a:rPr>
            <a:t> (Principle) 1</a:t>
          </a:r>
        </a:p>
      </xdr:txBody>
    </xdr:sp>
    <xdr:clientData/>
  </xdr:twoCellAnchor>
  <xdr:twoCellAnchor>
    <xdr:from>
      <xdr:col>5</xdr:col>
      <xdr:colOff>57150</xdr:colOff>
      <xdr:row>9</xdr:row>
      <xdr:rowOff>142875</xdr:rowOff>
    </xdr:from>
    <xdr:to>
      <xdr:col>6</xdr:col>
      <xdr:colOff>514350</xdr:colOff>
      <xdr:row>10</xdr:row>
      <xdr:rowOff>161925</xdr:rowOff>
    </xdr:to>
    <xdr:sp>
      <xdr:nvSpPr>
        <xdr:cNvPr id="6" name="Rounded Rectangle 6">
          <a:hlinkClick r:id="rId6"/>
        </xdr:cNvPr>
        <xdr:cNvSpPr>
          <a:spLocks/>
        </xdr:cNvSpPr>
      </xdr:nvSpPr>
      <xdr:spPr>
        <a:xfrm>
          <a:off x="6267450" y="3552825"/>
          <a:ext cx="155257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200" b="1" i="0" u="none" baseline="0">
              <a:solidFill>
                <a:srgbClr val="FFCC00"/>
              </a:solidFill>
              <a:latin typeface="Calibri"/>
              <a:ea typeface="Calibri"/>
              <a:cs typeface="Calibri"/>
            </a:rPr>
            <a:t>Form-40</a:t>
          </a:r>
          <a:r>
            <a:rPr lang="en-US" cap="none" sz="1200" b="1" i="0" u="none" baseline="0">
              <a:solidFill>
                <a:srgbClr val="FFCC00"/>
              </a:solidFill>
              <a:latin typeface="Calibri"/>
              <a:ea typeface="Calibri"/>
              <a:cs typeface="Calibri"/>
            </a:rPr>
            <a:t> (Principle) 2</a:t>
          </a:r>
        </a:p>
      </xdr:txBody>
    </xdr:sp>
    <xdr:clientData/>
  </xdr:twoCellAnchor>
  <xdr:twoCellAnchor>
    <xdr:from>
      <xdr:col>5</xdr:col>
      <xdr:colOff>47625</xdr:colOff>
      <xdr:row>12</xdr:row>
      <xdr:rowOff>209550</xdr:rowOff>
    </xdr:from>
    <xdr:to>
      <xdr:col>6</xdr:col>
      <xdr:colOff>495300</xdr:colOff>
      <xdr:row>14</xdr:row>
      <xdr:rowOff>85725</xdr:rowOff>
    </xdr:to>
    <xdr:sp>
      <xdr:nvSpPr>
        <xdr:cNvPr id="7" name="Rounded Rectangle 7">
          <a:hlinkClick r:id="rId7"/>
        </xdr:cNvPr>
        <xdr:cNvSpPr>
          <a:spLocks/>
        </xdr:cNvSpPr>
      </xdr:nvSpPr>
      <xdr:spPr>
        <a:xfrm>
          <a:off x="6257925" y="4448175"/>
          <a:ext cx="1543050"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200" b="1" i="0" u="none" baseline="0">
              <a:solidFill>
                <a:srgbClr val="FFCC00"/>
              </a:solidFill>
              <a:latin typeface="Calibri"/>
              <a:ea typeface="Calibri"/>
              <a:cs typeface="Calibri"/>
            </a:rPr>
            <a:t>Form-40</a:t>
          </a:r>
          <a:r>
            <a:rPr lang="en-US" cap="none" sz="1200" b="1" i="0" u="none" baseline="0">
              <a:solidFill>
                <a:srgbClr val="FFCC00"/>
              </a:solidFill>
              <a:latin typeface="Calibri"/>
              <a:ea typeface="Calibri"/>
              <a:cs typeface="Calibri"/>
            </a:rPr>
            <a:t> (Interest) 1</a:t>
          </a:r>
        </a:p>
      </xdr:txBody>
    </xdr:sp>
    <xdr:clientData/>
  </xdr:twoCellAnchor>
  <xdr:twoCellAnchor>
    <xdr:from>
      <xdr:col>5</xdr:col>
      <xdr:colOff>57150</xdr:colOff>
      <xdr:row>15</xdr:row>
      <xdr:rowOff>9525</xdr:rowOff>
    </xdr:from>
    <xdr:to>
      <xdr:col>6</xdr:col>
      <xdr:colOff>514350</xdr:colOff>
      <xdr:row>16</xdr:row>
      <xdr:rowOff>104775</xdr:rowOff>
    </xdr:to>
    <xdr:sp>
      <xdr:nvSpPr>
        <xdr:cNvPr id="8" name="Rounded Rectangle 8">
          <a:hlinkClick r:id="rId8"/>
        </xdr:cNvPr>
        <xdr:cNvSpPr>
          <a:spLocks/>
        </xdr:cNvSpPr>
      </xdr:nvSpPr>
      <xdr:spPr>
        <a:xfrm>
          <a:off x="6267450" y="4905375"/>
          <a:ext cx="155257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200" b="1" i="0" u="none" baseline="0">
              <a:solidFill>
                <a:srgbClr val="FFCC00"/>
              </a:solidFill>
              <a:latin typeface="Calibri"/>
              <a:ea typeface="Calibri"/>
              <a:cs typeface="Calibri"/>
            </a:rPr>
            <a:t>Form-40</a:t>
          </a:r>
          <a:r>
            <a:rPr lang="en-US" cap="none" sz="1200" b="1" i="0" u="none" baseline="0">
              <a:solidFill>
                <a:srgbClr val="FFCC00"/>
              </a:solidFill>
              <a:latin typeface="Calibri"/>
              <a:ea typeface="Calibri"/>
              <a:cs typeface="Calibri"/>
            </a:rPr>
            <a:t> (Interest) 2</a:t>
          </a:r>
        </a:p>
      </xdr:txBody>
    </xdr:sp>
    <xdr:clientData/>
  </xdr:twoCellAnchor>
  <xdr:twoCellAnchor>
    <xdr:from>
      <xdr:col>5</xdr:col>
      <xdr:colOff>47625</xdr:colOff>
      <xdr:row>11</xdr:row>
      <xdr:rowOff>28575</xdr:rowOff>
    </xdr:from>
    <xdr:to>
      <xdr:col>6</xdr:col>
      <xdr:colOff>504825</xdr:colOff>
      <xdr:row>12</xdr:row>
      <xdr:rowOff>76200</xdr:rowOff>
    </xdr:to>
    <xdr:sp>
      <xdr:nvSpPr>
        <xdr:cNvPr id="9" name="Rounded Rectangle 9">
          <a:hlinkClick r:id="rId9"/>
        </xdr:cNvPr>
        <xdr:cNvSpPr>
          <a:spLocks/>
        </xdr:cNvSpPr>
      </xdr:nvSpPr>
      <xdr:spPr>
        <a:xfrm>
          <a:off x="6257925" y="4000500"/>
          <a:ext cx="155257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CC00"/>
              </a:solidFill>
              <a:latin typeface="Calibri"/>
              <a:ea typeface="Calibri"/>
              <a:cs typeface="Calibri"/>
            </a:rPr>
            <a:t>Token</a:t>
          </a:r>
          <a:r>
            <a:rPr lang="en-US" cap="none" sz="1400" b="1" i="0" u="none" baseline="0">
              <a:solidFill>
                <a:srgbClr val="FFCC00"/>
              </a:solidFill>
              <a:latin typeface="Calibri"/>
              <a:ea typeface="Calibri"/>
              <a:cs typeface="Calibri"/>
            </a:rPr>
            <a:t> &amp; 101 (P)</a:t>
          </a:r>
        </a:p>
      </xdr:txBody>
    </xdr:sp>
    <xdr:clientData/>
  </xdr:twoCellAnchor>
  <xdr:twoCellAnchor>
    <xdr:from>
      <xdr:col>5</xdr:col>
      <xdr:colOff>38100</xdr:colOff>
      <xdr:row>17</xdr:row>
      <xdr:rowOff>19050</xdr:rowOff>
    </xdr:from>
    <xdr:to>
      <xdr:col>6</xdr:col>
      <xdr:colOff>495300</xdr:colOff>
      <xdr:row>17</xdr:row>
      <xdr:rowOff>333375</xdr:rowOff>
    </xdr:to>
    <xdr:sp>
      <xdr:nvSpPr>
        <xdr:cNvPr id="10" name="Rounded Rectangle 10">
          <a:hlinkClick r:id="rId10"/>
        </xdr:cNvPr>
        <xdr:cNvSpPr>
          <a:spLocks/>
        </xdr:cNvSpPr>
      </xdr:nvSpPr>
      <xdr:spPr>
        <a:xfrm>
          <a:off x="6248400" y="5353050"/>
          <a:ext cx="155257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CC00"/>
              </a:solidFill>
              <a:latin typeface="Calibri"/>
              <a:ea typeface="Calibri"/>
              <a:cs typeface="Calibri"/>
            </a:rPr>
            <a:t>Token</a:t>
          </a:r>
          <a:r>
            <a:rPr lang="en-US" cap="none" sz="1400" b="1" i="0" u="none" baseline="0">
              <a:solidFill>
                <a:srgbClr val="FFCC00"/>
              </a:solidFill>
              <a:latin typeface="Calibri"/>
              <a:ea typeface="Calibri"/>
              <a:cs typeface="Calibri"/>
            </a:rPr>
            <a:t> &amp; 101 (I)</a:t>
          </a:r>
        </a:p>
      </xdr:txBody>
    </xdr:sp>
    <xdr:clientData/>
  </xdr:twoCellAnchor>
  <xdr:twoCellAnchor>
    <xdr:from>
      <xdr:col>5</xdr:col>
      <xdr:colOff>57150</xdr:colOff>
      <xdr:row>18</xdr:row>
      <xdr:rowOff>142875</xdr:rowOff>
    </xdr:from>
    <xdr:to>
      <xdr:col>6</xdr:col>
      <xdr:colOff>504825</xdr:colOff>
      <xdr:row>20</xdr:row>
      <xdr:rowOff>142875</xdr:rowOff>
    </xdr:to>
    <xdr:sp macro="[0]!RoundedRectangle1_Click">
      <xdr:nvSpPr>
        <xdr:cNvPr id="11" name="Rounded Rectangle 11">
          <a:hlinkClick r:id="rId11"/>
        </xdr:cNvPr>
        <xdr:cNvSpPr>
          <a:spLocks/>
        </xdr:cNvSpPr>
      </xdr:nvSpPr>
      <xdr:spPr>
        <a:xfrm>
          <a:off x="6267450" y="5829300"/>
          <a:ext cx="1543050" cy="4953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CC00"/>
              </a:solidFill>
              <a:latin typeface="Calibri"/>
              <a:ea typeface="Calibri"/>
              <a:cs typeface="Calibri"/>
            </a:rPr>
            <a:t>Proceedings-Insurance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657225</xdr:rowOff>
    </xdr:from>
    <xdr:ext cx="5648325" cy="2076450"/>
    <xdr:sp>
      <xdr:nvSpPr>
        <xdr:cNvPr id="1" name="TextBox 2"/>
        <xdr:cNvSpPr txBox="1">
          <a:spLocks noChangeArrowheads="1"/>
        </xdr:cNvSpPr>
      </xdr:nvSpPr>
      <xdr:spPr>
        <a:xfrm>
          <a:off x="552450" y="2952750"/>
          <a:ext cx="5648325" cy="2076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sng" baseline="0">
              <a:solidFill>
                <a:srgbClr val="000000"/>
              </a:solidFill>
              <a:latin typeface="Calibri"/>
              <a:ea typeface="Calibri"/>
              <a:cs typeface="Calibri"/>
            </a:rPr>
            <a:t>Certificates</a:t>
          </a:r>
          <a:r>
            <a:rPr lang="en-US" cap="none" sz="12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1.Certified that the amount claimed in this bill has not drawn and paid previously.
</a:t>
          </a:r>
          <a:r>
            <a:rPr lang="en-US" cap="none" sz="1100" b="0" i="0" u="none" baseline="0">
              <a:solidFill>
                <a:srgbClr val="000000"/>
              </a:solidFill>
              <a:latin typeface="Calibri"/>
              <a:ea typeface="Calibri"/>
              <a:cs typeface="Calibri"/>
            </a:rPr>
            <a:t>2.Necessary entries are recorded in the SR of the individual.
</a:t>
          </a:r>
          <a:r>
            <a:rPr lang="en-US" cap="none" sz="1100" b="0" i="0" u="none" baseline="0">
              <a:solidFill>
                <a:srgbClr val="000000"/>
              </a:solidFill>
              <a:latin typeface="Calibri"/>
              <a:ea typeface="Calibri"/>
              <a:cs typeface="Calibri"/>
            </a:rPr>
            <a:t>3. Certified</a:t>
          </a:r>
          <a:r>
            <a:rPr lang="en-US" cap="none" sz="1100" b="0" i="0" u="none" baseline="0">
              <a:solidFill>
                <a:srgbClr val="000000"/>
              </a:solidFill>
              <a:latin typeface="Calibri"/>
              <a:ea typeface="Calibri"/>
              <a:cs typeface="Calibri"/>
            </a:rPr>
            <a:t> that the employee has not availed any EOL during the period of the claim.
</a:t>
          </a:r>
          <a:r>
            <a:rPr lang="en-US" cap="none" sz="1100" b="0" i="0" u="none" baseline="0">
              <a:solidFill>
                <a:srgbClr val="000000"/>
              </a:solidFill>
              <a:latin typeface="Calibri"/>
              <a:ea typeface="Calibri"/>
              <a:cs typeface="Calibri"/>
            </a:rPr>
            <a:t>4. Certified that the individual has not misappropriated any Govt. money during his servie.
</a:t>
          </a:r>
          <a:r>
            <a:rPr lang="en-US" cap="none" sz="1100" b="0" i="0" u="none" baseline="0">
              <a:solidFill>
                <a:srgbClr val="000000"/>
              </a:solidFill>
              <a:latin typeface="Calibri"/>
              <a:ea typeface="Calibri"/>
              <a:cs typeface="Calibri"/>
            </a:rPr>
            <a:t>5.Certified that the employee comes under the category of Superior /Inferior service.
</a:t>
          </a:r>
          <a:r>
            <a:rPr lang="en-US" cap="none" sz="1100" b="0" i="0" u="none" baseline="0">
              <a:solidFill>
                <a:srgbClr val="000000"/>
              </a:solidFill>
              <a:latin typeface="Calibri"/>
              <a:ea typeface="Calibri"/>
              <a:cs typeface="Calibri"/>
            </a:rPr>
            <a:t>6. Certified that the employee has completed two years of serivce when he admitted to the FBF.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Enclosers</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Proceedings
</a:t>
          </a:r>
          <a:r>
            <a:rPr lang="en-US" cap="none" sz="1100" b="0" i="0" u="none" baseline="0">
              <a:solidFill>
                <a:srgbClr val="000000"/>
              </a:solidFill>
              <a:latin typeface="Calibri"/>
              <a:ea typeface="Calibri"/>
              <a:cs typeface="Calibri"/>
            </a:rPr>
            <a:t>2) Calculation Sheet 
</a:t>
          </a:r>
          <a:r>
            <a:rPr lang="en-US" cap="none" sz="1100" b="0" i="0" u="none" baseline="0">
              <a:solidFill>
                <a:srgbClr val="000000"/>
              </a:solidFill>
              <a:latin typeface="Calibri"/>
              <a:ea typeface="Calibri"/>
              <a:cs typeface="Calibri"/>
            </a:rPr>
            <a:t>3) Annexure -C                                                </a:t>
          </a:r>
        </a:p>
      </xdr:txBody>
    </xdr:sp>
    <xdr:clientData/>
  </xdr:oneCellAnchor>
  <xdr:twoCellAnchor>
    <xdr:from>
      <xdr:col>10</xdr:col>
      <xdr:colOff>38100</xdr:colOff>
      <xdr:row>2</xdr:row>
      <xdr:rowOff>133350</xdr:rowOff>
    </xdr:from>
    <xdr:to>
      <xdr:col>10</xdr:col>
      <xdr:colOff>1009650</xdr:colOff>
      <xdr:row>2</xdr:row>
      <xdr:rowOff>447675</xdr:rowOff>
    </xdr:to>
    <xdr:sp macro="[0]!RoundedRectangle1_Click">
      <xdr:nvSpPr>
        <xdr:cNvPr id="2" name="Rounded Rectangle 3">
          <a:hlinkClick r:id="rId1"/>
        </xdr:cNvPr>
        <xdr:cNvSpPr>
          <a:spLocks/>
        </xdr:cNvSpPr>
      </xdr:nvSpPr>
      <xdr:spPr>
        <a:xfrm>
          <a:off x="6858000" y="590550"/>
          <a:ext cx="971550"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39</xdr:row>
      <xdr:rowOff>57150</xdr:rowOff>
    </xdr:from>
    <xdr:to>
      <xdr:col>2</xdr:col>
      <xdr:colOff>57150</xdr:colOff>
      <xdr:row>43</xdr:row>
      <xdr:rowOff>28575</xdr:rowOff>
    </xdr:to>
    <xdr:sp>
      <xdr:nvSpPr>
        <xdr:cNvPr id="1" name="Oval 1"/>
        <xdr:cNvSpPr>
          <a:spLocks/>
        </xdr:cNvSpPr>
      </xdr:nvSpPr>
      <xdr:spPr>
        <a:xfrm>
          <a:off x="504825" y="7038975"/>
          <a:ext cx="666750" cy="61912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DDO
</a:t>
          </a:r>
          <a:r>
            <a:rPr lang="en-US" cap="none" sz="1000" b="0" i="0" u="none" baseline="0">
              <a:solidFill>
                <a:srgbClr val="000000"/>
              </a:solidFill>
            </a:rPr>
            <a:t>  Seal</a:t>
          </a:r>
        </a:p>
      </xdr:txBody>
    </xdr:sp>
    <xdr:clientData/>
  </xdr:twoCellAnchor>
  <xdr:twoCellAnchor>
    <xdr:from>
      <xdr:col>23</xdr:col>
      <xdr:colOff>19050</xdr:colOff>
      <xdr:row>39</xdr:row>
      <xdr:rowOff>28575</xdr:rowOff>
    </xdr:from>
    <xdr:to>
      <xdr:col>32</xdr:col>
      <xdr:colOff>66675</xdr:colOff>
      <xdr:row>42</xdr:row>
      <xdr:rowOff>152400</xdr:rowOff>
    </xdr:to>
    <xdr:sp>
      <xdr:nvSpPr>
        <xdr:cNvPr id="2" name="Oval 2"/>
        <xdr:cNvSpPr>
          <a:spLocks/>
        </xdr:cNvSpPr>
      </xdr:nvSpPr>
      <xdr:spPr>
        <a:xfrm>
          <a:off x="4324350" y="7010400"/>
          <a:ext cx="762000" cy="6096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Treasury 
</a:t>
          </a:r>
          <a:r>
            <a:rPr lang="en-US" cap="none" sz="1000" b="0" i="0" u="none" baseline="0">
              <a:solidFill>
                <a:srgbClr val="000000"/>
              </a:solidFill>
            </a:rPr>
            <a:t>   Seal</a:t>
          </a:r>
        </a:p>
      </xdr:txBody>
    </xdr:sp>
    <xdr:clientData/>
  </xdr:twoCellAnchor>
  <xdr:twoCellAnchor>
    <xdr:from>
      <xdr:col>48</xdr:col>
      <xdr:colOff>57150</xdr:colOff>
      <xdr:row>3</xdr:row>
      <xdr:rowOff>38100</xdr:rowOff>
    </xdr:from>
    <xdr:to>
      <xdr:col>48</xdr:col>
      <xdr:colOff>876300</xdr:colOff>
      <xdr:row>4</xdr:row>
      <xdr:rowOff>200025</xdr:rowOff>
    </xdr:to>
    <xdr:sp macro="[0]!RoundedRectangle1_Click">
      <xdr:nvSpPr>
        <xdr:cNvPr id="3" name="Rounded Rectangle 3">
          <a:hlinkClick r:id="rId1"/>
        </xdr:cNvPr>
        <xdr:cNvSpPr>
          <a:spLocks/>
        </xdr:cNvSpPr>
      </xdr:nvSpPr>
      <xdr:spPr>
        <a:xfrm>
          <a:off x="11430000" y="771525"/>
          <a:ext cx="819150"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3</xdr:row>
      <xdr:rowOff>66675</xdr:rowOff>
    </xdr:from>
    <xdr:to>
      <xdr:col>10</xdr:col>
      <xdr:colOff>1285875</xdr:colOff>
      <xdr:row>5</xdr:row>
      <xdr:rowOff>76200</xdr:rowOff>
    </xdr:to>
    <xdr:sp macro="[0]!RoundedRectangle1_Click">
      <xdr:nvSpPr>
        <xdr:cNvPr id="1" name="Rounded Rectangle 1">
          <a:hlinkClick r:id="rId1"/>
        </xdr:cNvPr>
        <xdr:cNvSpPr>
          <a:spLocks/>
        </xdr:cNvSpPr>
      </xdr:nvSpPr>
      <xdr:spPr>
        <a:xfrm>
          <a:off x="6353175" y="781050"/>
          <a:ext cx="122872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43</xdr:row>
      <xdr:rowOff>28575</xdr:rowOff>
    </xdr:from>
    <xdr:to>
      <xdr:col>4</xdr:col>
      <xdr:colOff>781050</xdr:colOff>
      <xdr:row>46</xdr:row>
      <xdr:rowOff>85725</xdr:rowOff>
    </xdr:to>
    <xdr:sp>
      <xdr:nvSpPr>
        <xdr:cNvPr id="1" name="Oval 4"/>
        <xdr:cNvSpPr>
          <a:spLocks/>
        </xdr:cNvSpPr>
      </xdr:nvSpPr>
      <xdr:spPr>
        <a:xfrm>
          <a:off x="1095375" y="9153525"/>
          <a:ext cx="781050" cy="7143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114300</xdr:colOff>
      <xdr:row>43</xdr:row>
      <xdr:rowOff>190500</xdr:rowOff>
    </xdr:from>
    <xdr:to>
      <xdr:col>4</xdr:col>
      <xdr:colOff>666750</xdr:colOff>
      <xdr:row>45</xdr:row>
      <xdr:rowOff>180975</xdr:rowOff>
    </xdr:to>
    <xdr:sp>
      <xdr:nvSpPr>
        <xdr:cNvPr id="2" name="WordArt 5"/>
        <xdr:cNvSpPr>
          <a:spLocks/>
        </xdr:cNvSpPr>
      </xdr:nvSpPr>
      <xdr:spPr>
        <a:xfrm rot="160935">
          <a:off x="1209675" y="9315450"/>
          <a:ext cx="552450" cy="428625"/>
        </a:xfrm>
        <a:prstGeom prst="rect"/>
        <a:noFill/>
      </xdr:spPr>
      <xdr:txBody>
        <a:bodyPr fromWordArt="1" wrap="none" lIns="91440" tIns="45720" rIns="91440" bIns="45720">
          <a:prstTxWarp prst="textPlain">
            <a:avLst>
              <a:gd name="adj" fmla="val 50837"/>
            </a:avLst>
          </a:prstTxWarp>
        </a:bodyPr>
        <a:p>
          <a:pPr algn="ctr"/>
          <a:r>
            <a:rPr sz="1000" kern="10" spc="0">
              <a:ln w="9525" cmpd="sng">
                <a:solidFill>
                  <a:srgbClr val="000000"/>
                </a:solidFill>
                <a:headEnd type="none"/>
                <a:tailEnd type="none"/>
              </a:ln>
              <a:solidFill>
                <a:srgbClr val="FFFFFF"/>
              </a:solidFill>
              <a:latin typeface="Arial Black"/>
              <a:cs typeface="Arial Black"/>
            </a:rPr>
            <a:t>NBST /BANKSEAL</a:t>
          </a:r>
        </a:p>
      </xdr:txBody>
    </xdr:sp>
    <xdr:clientData/>
  </xdr:twoCellAnchor>
  <xdr:twoCellAnchor>
    <xdr:from>
      <xdr:col>22</xdr:col>
      <xdr:colOff>66675</xdr:colOff>
      <xdr:row>2</xdr:row>
      <xdr:rowOff>0</xdr:rowOff>
    </xdr:from>
    <xdr:to>
      <xdr:col>22</xdr:col>
      <xdr:colOff>952500</xdr:colOff>
      <xdr:row>3</xdr:row>
      <xdr:rowOff>0</xdr:rowOff>
    </xdr:to>
    <xdr:sp macro="[0]!RoundedRectangle1_Click">
      <xdr:nvSpPr>
        <xdr:cNvPr id="3" name="Rounded Rectangle 3">
          <a:hlinkClick r:id="rId1"/>
        </xdr:cNvPr>
        <xdr:cNvSpPr>
          <a:spLocks/>
        </xdr:cNvSpPr>
      </xdr:nvSpPr>
      <xdr:spPr>
        <a:xfrm>
          <a:off x="7248525" y="457200"/>
          <a:ext cx="88582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657225</xdr:rowOff>
    </xdr:from>
    <xdr:ext cx="5648325" cy="2076450"/>
    <xdr:sp>
      <xdr:nvSpPr>
        <xdr:cNvPr id="1" name="TextBox 1"/>
        <xdr:cNvSpPr txBox="1">
          <a:spLocks noChangeArrowheads="1"/>
        </xdr:cNvSpPr>
      </xdr:nvSpPr>
      <xdr:spPr>
        <a:xfrm>
          <a:off x="552450" y="2952750"/>
          <a:ext cx="5648325" cy="2076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sng" baseline="0">
              <a:solidFill>
                <a:srgbClr val="000000"/>
              </a:solidFill>
              <a:latin typeface="Calibri"/>
              <a:ea typeface="Calibri"/>
              <a:cs typeface="Calibri"/>
            </a:rPr>
            <a:t>Certificates</a:t>
          </a:r>
          <a:r>
            <a:rPr lang="en-US" cap="none" sz="12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1.Certified that the amount claimed in this bill has not drawn and paid previously.
</a:t>
          </a:r>
          <a:r>
            <a:rPr lang="en-US" cap="none" sz="1100" b="0" i="0" u="none" baseline="0">
              <a:solidFill>
                <a:srgbClr val="000000"/>
              </a:solidFill>
              <a:latin typeface="Calibri"/>
              <a:ea typeface="Calibri"/>
              <a:cs typeface="Calibri"/>
            </a:rPr>
            <a:t>2.Necessary entries are recorded in the SR of the individual.
</a:t>
          </a:r>
          <a:r>
            <a:rPr lang="en-US" cap="none" sz="1100" b="0" i="0" u="none" baseline="0">
              <a:solidFill>
                <a:srgbClr val="000000"/>
              </a:solidFill>
              <a:latin typeface="Calibri"/>
              <a:ea typeface="Calibri"/>
              <a:cs typeface="Calibri"/>
            </a:rPr>
            <a:t>3. Certified</a:t>
          </a:r>
          <a:r>
            <a:rPr lang="en-US" cap="none" sz="1100" b="0" i="0" u="none" baseline="0">
              <a:solidFill>
                <a:srgbClr val="000000"/>
              </a:solidFill>
              <a:latin typeface="Calibri"/>
              <a:ea typeface="Calibri"/>
              <a:cs typeface="Calibri"/>
            </a:rPr>
            <a:t> that the employee has not availed any EOL during the period of the claim.
</a:t>
          </a:r>
          <a:r>
            <a:rPr lang="en-US" cap="none" sz="1100" b="0" i="0" u="none" baseline="0">
              <a:solidFill>
                <a:srgbClr val="000000"/>
              </a:solidFill>
              <a:latin typeface="Calibri"/>
              <a:ea typeface="Calibri"/>
              <a:cs typeface="Calibri"/>
            </a:rPr>
            <a:t>4. Certified that the individual has not misappropriated any Govt. money during his servie.
</a:t>
          </a:r>
          <a:r>
            <a:rPr lang="en-US" cap="none" sz="1100" b="0" i="0" u="none" baseline="0">
              <a:solidFill>
                <a:srgbClr val="000000"/>
              </a:solidFill>
              <a:latin typeface="Calibri"/>
              <a:ea typeface="Calibri"/>
              <a:cs typeface="Calibri"/>
            </a:rPr>
            <a:t>5.Certified that the employee comes under the category of Superior /Inferior service.
</a:t>
          </a:r>
          <a:r>
            <a:rPr lang="en-US" cap="none" sz="1100" b="0" i="0" u="none" baseline="0">
              <a:solidFill>
                <a:srgbClr val="000000"/>
              </a:solidFill>
              <a:latin typeface="Calibri"/>
              <a:ea typeface="Calibri"/>
              <a:cs typeface="Calibri"/>
            </a:rPr>
            <a:t>6. Certified that the employee has completed two years of serivce when he admitted to the FBF.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Enclosers</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Proceedings
</a:t>
          </a:r>
          <a:r>
            <a:rPr lang="en-US" cap="none" sz="1100" b="0" i="0" u="none" baseline="0">
              <a:solidFill>
                <a:srgbClr val="000000"/>
              </a:solidFill>
              <a:latin typeface="Calibri"/>
              <a:ea typeface="Calibri"/>
              <a:cs typeface="Calibri"/>
            </a:rPr>
            <a:t>2) Calculation Sheet 
</a:t>
          </a:r>
          <a:r>
            <a:rPr lang="en-US" cap="none" sz="1100" b="0" i="0" u="none" baseline="0">
              <a:solidFill>
                <a:srgbClr val="000000"/>
              </a:solidFill>
              <a:latin typeface="Calibri"/>
              <a:ea typeface="Calibri"/>
              <a:cs typeface="Calibri"/>
            </a:rPr>
            <a:t>3) Annexure -C                                                </a:t>
          </a:r>
        </a:p>
      </xdr:txBody>
    </xdr:sp>
    <xdr:clientData/>
  </xdr:oneCellAnchor>
  <xdr:twoCellAnchor>
    <xdr:from>
      <xdr:col>10</xdr:col>
      <xdr:colOff>38100</xdr:colOff>
      <xdr:row>2</xdr:row>
      <xdr:rowOff>133350</xdr:rowOff>
    </xdr:from>
    <xdr:to>
      <xdr:col>10</xdr:col>
      <xdr:colOff>1009650</xdr:colOff>
      <xdr:row>2</xdr:row>
      <xdr:rowOff>447675</xdr:rowOff>
    </xdr:to>
    <xdr:sp macro="[0]!RoundedRectangle1_Click">
      <xdr:nvSpPr>
        <xdr:cNvPr id="2" name="Rounded Rectangle 2">
          <a:hlinkClick r:id="rId1"/>
        </xdr:cNvPr>
        <xdr:cNvSpPr>
          <a:spLocks/>
        </xdr:cNvSpPr>
      </xdr:nvSpPr>
      <xdr:spPr>
        <a:xfrm>
          <a:off x="6858000" y="590550"/>
          <a:ext cx="971550"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39</xdr:row>
      <xdr:rowOff>57150</xdr:rowOff>
    </xdr:from>
    <xdr:to>
      <xdr:col>2</xdr:col>
      <xdr:colOff>57150</xdr:colOff>
      <xdr:row>43</xdr:row>
      <xdr:rowOff>28575</xdr:rowOff>
    </xdr:to>
    <xdr:sp>
      <xdr:nvSpPr>
        <xdr:cNvPr id="1" name="Oval 1"/>
        <xdr:cNvSpPr>
          <a:spLocks/>
        </xdr:cNvSpPr>
      </xdr:nvSpPr>
      <xdr:spPr>
        <a:xfrm>
          <a:off x="504825" y="7038975"/>
          <a:ext cx="666750" cy="61912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DDO
</a:t>
          </a:r>
          <a:r>
            <a:rPr lang="en-US" cap="none" sz="1000" b="0" i="0" u="none" baseline="0">
              <a:solidFill>
                <a:srgbClr val="000000"/>
              </a:solidFill>
            </a:rPr>
            <a:t>  Seal</a:t>
          </a:r>
        </a:p>
      </xdr:txBody>
    </xdr:sp>
    <xdr:clientData/>
  </xdr:twoCellAnchor>
  <xdr:twoCellAnchor>
    <xdr:from>
      <xdr:col>23</xdr:col>
      <xdr:colOff>19050</xdr:colOff>
      <xdr:row>39</xdr:row>
      <xdr:rowOff>28575</xdr:rowOff>
    </xdr:from>
    <xdr:to>
      <xdr:col>32</xdr:col>
      <xdr:colOff>66675</xdr:colOff>
      <xdr:row>42</xdr:row>
      <xdr:rowOff>152400</xdr:rowOff>
    </xdr:to>
    <xdr:sp>
      <xdr:nvSpPr>
        <xdr:cNvPr id="2" name="Oval 2"/>
        <xdr:cNvSpPr>
          <a:spLocks/>
        </xdr:cNvSpPr>
      </xdr:nvSpPr>
      <xdr:spPr>
        <a:xfrm>
          <a:off x="4324350" y="7010400"/>
          <a:ext cx="762000" cy="6096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Treasury 
</a:t>
          </a:r>
          <a:r>
            <a:rPr lang="en-US" cap="none" sz="1000" b="0" i="0" u="none" baseline="0">
              <a:solidFill>
                <a:srgbClr val="000000"/>
              </a:solidFill>
            </a:rPr>
            <a:t>   Seal</a:t>
          </a:r>
        </a:p>
      </xdr:txBody>
    </xdr:sp>
    <xdr:clientData/>
  </xdr:twoCellAnchor>
  <xdr:twoCellAnchor>
    <xdr:from>
      <xdr:col>48</xdr:col>
      <xdr:colOff>57150</xdr:colOff>
      <xdr:row>3</xdr:row>
      <xdr:rowOff>38100</xdr:rowOff>
    </xdr:from>
    <xdr:to>
      <xdr:col>48</xdr:col>
      <xdr:colOff>876300</xdr:colOff>
      <xdr:row>4</xdr:row>
      <xdr:rowOff>200025</xdr:rowOff>
    </xdr:to>
    <xdr:sp macro="[0]!RoundedRectangle1_Click">
      <xdr:nvSpPr>
        <xdr:cNvPr id="3" name="Rounded Rectangle 3">
          <a:hlinkClick r:id="rId1"/>
        </xdr:cNvPr>
        <xdr:cNvSpPr>
          <a:spLocks/>
        </xdr:cNvSpPr>
      </xdr:nvSpPr>
      <xdr:spPr>
        <a:xfrm>
          <a:off x="11430000" y="771525"/>
          <a:ext cx="819150"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3</xdr:row>
      <xdr:rowOff>66675</xdr:rowOff>
    </xdr:from>
    <xdr:to>
      <xdr:col>10</xdr:col>
      <xdr:colOff>1285875</xdr:colOff>
      <xdr:row>5</xdr:row>
      <xdr:rowOff>76200</xdr:rowOff>
    </xdr:to>
    <xdr:sp macro="[0]!RoundedRectangle1_Click">
      <xdr:nvSpPr>
        <xdr:cNvPr id="1" name="Rounded Rectangle 11">
          <a:hlinkClick r:id="rId1"/>
        </xdr:cNvPr>
        <xdr:cNvSpPr>
          <a:spLocks/>
        </xdr:cNvSpPr>
      </xdr:nvSpPr>
      <xdr:spPr>
        <a:xfrm>
          <a:off x="6934200" y="781050"/>
          <a:ext cx="122872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xdr:row>
      <xdr:rowOff>266700</xdr:rowOff>
    </xdr:from>
    <xdr:to>
      <xdr:col>10</xdr:col>
      <xdr:colOff>1028700</xdr:colOff>
      <xdr:row>3</xdr:row>
      <xdr:rowOff>38100</xdr:rowOff>
    </xdr:to>
    <xdr:sp macro="[0]!RoundedRectangle1_Click">
      <xdr:nvSpPr>
        <xdr:cNvPr id="1" name="Rounded Rectangle 1">
          <a:hlinkClick r:id="rId1"/>
        </xdr:cNvPr>
        <xdr:cNvSpPr>
          <a:spLocks/>
        </xdr:cNvSpPr>
      </xdr:nvSpPr>
      <xdr:spPr>
        <a:xfrm>
          <a:off x="7953375" y="542925"/>
          <a:ext cx="952500"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1</xdr:row>
      <xdr:rowOff>57150</xdr:rowOff>
    </xdr:from>
    <xdr:to>
      <xdr:col>5</xdr:col>
      <xdr:colOff>1171575</xdr:colOff>
      <xdr:row>1</xdr:row>
      <xdr:rowOff>361950</xdr:rowOff>
    </xdr:to>
    <xdr:sp>
      <xdr:nvSpPr>
        <xdr:cNvPr id="1" name="Rounded Rectangle 1"/>
        <xdr:cNvSpPr>
          <a:spLocks/>
        </xdr:cNvSpPr>
      </xdr:nvSpPr>
      <xdr:spPr>
        <a:xfrm>
          <a:off x="2009775" y="247650"/>
          <a:ext cx="2181225" cy="304800"/>
        </a:xfrm>
        <a:prstGeom prst="roundRect">
          <a:avLst/>
        </a:prstGeom>
        <a:solidFill>
          <a:srgbClr val="FFFFFF"/>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2</xdr:row>
      <xdr:rowOff>85725</xdr:rowOff>
    </xdr:from>
    <xdr:to>
      <xdr:col>8</xdr:col>
      <xdr:colOff>1104900</xdr:colOff>
      <xdr:row>3</xdr:row>
      <xdr:rowOff>142875</xdr:rowOff>
    </xdr:to>
    <xdr:sp macro="[0]!RoundedRectangle1_Click">
      <xdr:nvSpPr>
        <xdr:cNvPr id="2" name="Rounded Rectangle 2">
          <a:hlinkClick r:id="rId1"/>
        </xdr:cNvPr>
        <xdr:cNvSpPr>
          <a:spLocks/>
        </xdr:cNvSpPr>
      </xdr:nvSpPr>
      <xdr:spPr>
        <a:xfrm>
          <a:off x="6153150" y="657225"/>
          <a:ext cx="109537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xdr:row>
      <xdr:rowOff>0</xdr:rowOff>
    </xdr:from>
    <xdr:to>
      <xdr:col>3</xdr:col>
      <xdr:colOff>1704975</xdr:colOff>
      <xdr:row>2</xdr:row>
      <xdr:rowOff>9525</xdr:rowOff>
    </xdr:to>
    <xdr:sp>
      <xdr:nvSpPr>
        <xdr:cNvPr id="1" name="Rounded Rectangle 1"/>
        <xdr:cNvSpPr>
          <a:spLocks/>
        </xdr:cNvSpPr>
      </xdr:nvSpPr>
      <xdr:spPr>
        <a:xfrm>
          <a:off x="1419225" y="285750"/>
          <a:ext cx="3371850" cy="304800"/>
        </a:xfrm>
        <a:prstGeom prst="roundRect">
          <a:avLst/>
        </a:prstGeom>
        <a:solidFill>
          <a:srgbClr val="FFFFFF"/>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47625</xdr:colOff>
      <xdr:row>1</xdr:row>
      <xdr:rowOff>190500</xdr:rowOff>
    </xdr:from>
    <xdr:to>
      <xdr:col>6</xdr:col>
      <xdr:colOff>1076325</xdr:colOff>
      <xdr:row>2</xdr:row>
      <xdr:rowOff>209550</xdr:rowOff>
    </xdr:to>
    <xdr:sp macro="[0]!RoundedRectangle1_Click">
      <xdr:nvSpPr>
        <xdr:cNvPr id="2" name="Rounded Rectangle 2">
          <a:hlinkClick r:id="rId1"/>
        </xdr:cNvPr>
        <xdr:cNvSpPr>
          <a:spLocks/>
        </xdr:cNvSpPr>
      </xdr:nvSpPr>
      <xdr:spPr>
        <a:xfrm>
          <a:off x="6724650" y="476250"/>
          <a:ext cx="1028700"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43</xdr:row>
      <xdr:rowOff>28575</xdr:rowOff>
    </xdr:from>
    <xdr:to>
      <xdr:col>4</xdr:col>
      <xdr:colOff>781050</xdr:colOff>
      <xdr:row>46</xdr:row>
      <xdr:rowOff>85725</xdr:rowOff>
    </xdr:to>
    <xdr:sp>
      <xdr:nvSpPr>
        <xdr:cNvPr id="1" name="Oval 4"/>
        <xdr:cNvSpPr>
          <a:spLocks/>
        </xdr:cNvSpPr>
      </xdr:nvSpPr>
      <xdr:spPr>
        <a:xfrm>
          <a:off x="1095375" y="9153525"/>
          <a:ext cx="781050" cy="7143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114300</xdr:colOff>
      <xdr:row>43</xdr:row>
      <xdr:rowOff>190500</xdr:rowOff>
    </xdr:from>
    <xdr:to>
      <xdr:col>4</xdr:col>
      <xdr:colOff>666750</xdr:colOff>
      <xdr:row>45</xdr:row>
      <xdr:rowOff>180975</xdr:rowOff>
    </xdr:to>
    <xdr:sp>
      <xdr:nvSpPr>
        <xdr:cNvPr id="2" name="WordArt 5"/>
        <xdr:cNvSpPr>
          <a:spLocks/>
        </xdr:cNvSpPr>
      </xdr:nvSpPr>
      <xdr:spPr>
        <a:xfrm rot="160935">
          <a:off x="1209675" y="9315450"/>
          <a:ext cx="552450" cy="428625"/>
        </a:xfrm>
        <a:prstGeom prst="rect"/>
        <a:noFill/>
      </xdr:spPr>
      <xdr:txBody>
        <a:bodyPr fromWordArt="1" wrap="none" lIns="91440" tIns="45720" rIns="91440" bIns="45720">
          <a:prstTxWarp prst="textPlain">
            <a:avLst>
              <a:gd name="adj" fmla="val 50837"/>
            </a:avLst>
          </a:prstTxWarp>
        </a:bodyPr>
        <a:p>
          <a:pPr algn="ctr"/>
          <a:r>
            <a:rPr sz="1000" kern="10" spc="0">
              <a:ln w="9525" cmpd="sng">
                <a:solidFill>
                  <a:srgbClr val="000000"/>
                </a:solidFill>
                <a:headEnd type="none"/>
                <a:tailEnd type="none"/>
              </a:ln>
              <a:solidFill>
                <a:srgbClr val="FFFFFF"/>
              </a:solidFill>
              <a:latin typeface="Arial Black"/>
              <a:cs typeface="Arial Black"/>
            </a:rPr>
            <a:t>NBST /BANKSEAL</a:t>
          </a:r>
        </a:p>
      </xdr:txBody>
    </xdr:sp>
    <xdr:clientData/>
  </xdr:twoCellAnchor>
  <xdr:twoCellAnchor>
    <xdr:from>
      <xdr:col>22</xdr:col>
      <xdr:colOff>47625</xdr:colOff>
      <xdr:row>2</xdr:row>
      <xdr:rowOff>95250</xdr:rowOff>
    </xdr:from>
    <xdr:to>
      <xdr:col>22</xdr:col>
      <xdr:colOff>933450</xdr:colOff>
      <xdr:row>3</xdr:row>
      <xdr:rowOff>95250</xdr:rowOff>
    </xdr:to>
    <xdr:sp macro="[0]!RoundedRectangle1_Click">
      <xdr:nvSpPr>
        <xdr:cNvPr id="3" name="Rounded Rectangle 3">
          <a:hlinkClick r:id="rId1"/>
        </xdr:cNvPr>
        <xdr:cNvSpPr>
          <a:spLocks/>
        </xdr:cNvSpPr>
      </xdr:nvSpPr>
      <xdr:spPr>
        <a:xfrm>
          <a:off x="7229475" y="552450"/>
          <a:ext cx="88582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5</xdr:row>
      <xdr:rowOff>923925</xdr:rowOff>
    </xdr:from>
    <xdr:ext cx="5648325" cy="2076450"/>
    <xdr:sp>
      <xdr:nvSpPr>
        <xdr:cNvPr id="1" name="TextBox 1"/>
        <xdr:cNvSpPr txBox="1">
          <a:spLocks noChangeArrowheads="1"/>
        </xdr:cNvSpPr>
      </xdr:nvSpPr>
      <xdr:spPr>
        <a:xfrm>
          <a:off x="590550" y="3219450"/>
          <a:ext cx="5648325" cy="2076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sng" baseline="0">
              <a:solidFill>
                <a:srgbClr val="000000"/>
              </a:solidFill>
              <a:latin typeface="Calibri"/>
              <a:ea typeface="Calibri"/>
              <a:cs typeface="Calibri"/>
            </a:rPr>
            <a:t>Certificates</a:t>
          </a:r>
          <a:r>
            <a:rPr lang="en-US" cap="none" sz="12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1.Certified that the amount claimed in this bill has not drawn and paid previously.
</a:t>
          </a:r>
          <a:r>
            <a:rPr lang="en-US" cap="none" sz="1100" b="0" i="0" u="none" baseline="0">
              <a:solidFill>
                <a:srgbClr val="000000"/>
              </a:solidFill>
              <a:latin typeface="Calibri"/>
              <a:ea typeface="Calibri"/>
              <a:cs typeface="Calibri"/>
            </a:rPr>
            <a:t>2.Necessary entries are recorded in the SR of the individual.
</a:t>
          </a:r>
          <a:r>
            <a:rPr lang="en-US" cap="none" sz="1100" b="0" i="0" u="none" baseline="0">
              <a:solidFill>
                <a:srgbClr val="000000"/>
              </a:solidFill>
              <a:latin typeface="Calibri"/>
              <a:ea typeface="Calibri"/>
              <a:cs typeface="Calibri"/>
            </a:rPr>
            <a:t>3. Certified</a:t>
          </a:r>
          <a:r>
            <a:rPr lang="en-US" cap="none" sz="1100" b="0" i="0" u="none" baseline="0">
              <a:solidFill>
                <a:srgbClr val="000000"/>
              </a:solidFill>
              <a:latin typeface="Calibri"/>
              <a:ea typeface="Calibri"/>
              <a:cs typeface="Calibri"/>
            </a:rPr>
            <a:t> that the employee has not availed any EOL during the period of the claim.
</a:t>
          </a:r>
          <a:r>
            <a:rPr lang="en-US" cap="none" sz="1100" b="0" i="0" u="none" baseline="0">
              <a:solidFill>
                <a:srgbClr val="000000"/>
              </a:solidFill>
              <a:latin typeface="Calibri"/>
              <a:ea typeface="Calibri"/>
              <a:cs typeface="Calibri"/>
            </a:rPr>
            <a:t>4. Certified that the individual has not misappropriated any Govt. money during his servie.
</a:t>
          </a:r>
          <a:r>
            <a:rPr lang="en-US" cap="none" sz="1100" b="0" i="0" u="none" baseline="0">
              <a:solidFill>
                <a:srgbClr val="000000"/>
              </a:solidFill>
              <a:latin typeface="Calibri"/>
              <a:ea typeface="Calibri"/>
              <a:cs typeface="Calibri"/>
            </a:rPr>
            <a:t>5.Certified that the employee comes under the category of Superior /Inferior service.
</a:t>
          </a:r>
          <a:r>
            <a:rPr lang="en-US" cap="none" sz="1100" b="0" i="0" u="none" baseline="0">
              <a:solidFill>
                <a:srgbClr val="000000"/>
              </a:solidFill>
              <a:latin typeface="Calibri"/>
              <a:ea typeface="Calibri"/>
              <a:cs typeface="Calibri"/>
            </a:rPr>
            <a:t>6. Certified that the employee has completed two years of serivce when he admitted to the FBF.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Enclosers</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Proceedings
</a:t>
          </a:r>
          <a:r>
            <a:rPr lang="en-US" cap="none" sz="1100" b="0" i="0" u="none" baseline="0">
              <a:solidFill>
                <a:srgbClr val="000000"/>
              </a:solidFill>
              <a:latin typeface="Calibri"/>
              <a:ea typeface="Calibri"/>
              <a:cs typeface="Calibri"/>
            </a:rPr>
            <a:t>2) Calculation Sheet 
</a:t>
          </a:r>
          <a:r>
            <a:rPr lang="en-US" cap="none" sz="1100" b="0" i="0" u="none" baseline="0">
              <a:solidFill>
                <a:srgbClr val="000000"/>
              </a:solidFill>
              <a:latin typeface="Calibri"/>
              <a:ea typeface="Calibri"/>
              <a:cs typeface="Calibri"/>
            </a:rPr>
            <a:t>3) Annexure -C                                                </a:t>
          </a:r>
        </a:p>
      </xdr:txBody>
    </xdr:sp>
    <xdr:clientData/>
  </xdr:oneCellAnchor>
  <xdr:twoCellAnchor>
    <xdr:from>
      <xdr:col>10</xdr:col>
      <xdr:colOff>38100</xdr:colOff>
      <xdr:row>2</xdr:row>
      <xdr:rowOff>333375</xdr:rowOff>
    </xdr:from>
    <xdr:to>
      <xdr:col>10</xdr:col>
      <xdr:colOff>923925</xdr:colOff>
      <xdr:row>3</xdr:row>
      <xdr:rowOff>57150</xdr:rowOff>
    </xdr:to>
    <xdr:sp macro="[0]!RoundedRectangle1_Click">
      <xdr:nvSpPr>
        <xdr:cNvPr id="2" name="Rounded Rectangle 2">
          <a:hlinkClick r:id="rId1"/>
        </xdr:cNvPr>
        <xdr:cNvSpPr>
          <a:spLocks/>
        </xdr:cNvSpPr>
      </xdr:nvSpPr>
      <xdr:spPr>
        <a:xfrm>
          <a:off x="6858000" y="790575"/>
          <a:ext cx="88582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39</xdr:row>
      <xdr:rowOff>57150</xdr:rowOff>
    </xdr:from>
    <xdr:to>
      <xdr:col>2</xdr:col>
      <xdr:colOff>57150</xdr:colOff>
      <xdr:row>43</xdr:row>
      <xdr:rowOff>28575</xdr:rowOff>
    </xdr:to>
    <xdr:sp>
      <xdr:nvSpPr>
        <xdr:cNvPr id="1" name="Oval 1"/>
        <xdr:cNvSpPr>
          <a:spLocks/>
        </xdr:cNvSpPr>
      </xdr:nvSpPr>
      <xdr:spPr>
        <a:xfrm>
          <a:off x="504825" y="7038975"/>
          <a:ext cx="666750" cy="61912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DDO
</a:t>
          </a:r>
          <a:r>
            <a:rPr lang="en-US" cap="none" sz="1000" b="0" i="0" u="none" baseline="0">
              <a:solidFill>
                <a:srgbClr val="000000"/>
              </a:solidFill>
            </a:rPr>
            <a:t>  Seal</a:t>
          </a:r>
        </a:p>
      </xdr:txBody>
    </xdr:sp>
    <xdr:clientData/>
  </xdr:twoCellAnchor>
  <xdr:twoCellAnchor>
    <xdr:from>
      <xdr:col>23</xdr:col>
      <xdr:colOff>19050</xdr:colOff>
      <xdr:row>39</xdr:row>
      <xdr:rowOff>28575</xdr:rowOff>
    </xdr:from>
    <xdr:to>
      <xdr:col>32</xdr:col>
      <xdr:colOff>66675</xdr:colOff>
      <xdr:row>42</xdr:row>
      <xdr:rowOff>152400</xdr:rowOff>
    </xdr:to>
    <xdr:sp>
      <xdr:nvSpPr>
        <xdr:cNvPr id="2" name="Oval 2"/>
        <xdr:cNvSpPr>
          <a:spLocks/>
        </xdr:cNvSpPr>
      </xdr:nvSpPr>
      <xdr:spPr>
        <a:xfrm>
          <a:off x="4324350" y="7010400"/>
          <a:ext cx="762000" cy="6096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Treasury 
</a:t>
          </a:r>
          <a:r>
            <a:rPr lang="en-US" cap="none" sz="1000" b="0" i="0" u="none" baseline="0">
              <a:solidFill>
                <a:srgbClr val="000000"/>
              </a:solidFill>
            </a:rPr>
            <a:t>   Seal</a:t>
          </a:r>
        </a:p>
      </xdr:txBody>
    </xdr:sp>
    <xdr:clientData/>
  </xdr:twoCellAnchor>
  <xdr:twoCellAnchor>
    <xdr:from>
      <xdr:col>48</xdr:col>
      <xdr:colOff>38100</xdr:colOff>
      <xdr:row>3</xdr:row>
      <xdr:rowOff>133350</xdr:rowOff>
    </xdr:from>
    <xdr:to>
      <xdr:col>48</xdr:col>
      <xdr:colOff>866775</xdr:colOff>
      <xdr:row>5</xdr:row>
      <xdr:rowOff>38100</xdr:rowOff>
    </xdr:to>
    <xdr:sp macro="[0]!RoundedRectangle1_Click">
      <xdr:nvSpPr>
        <xdr:cNvPr id="3" name="Rounded Rectangle 3">
          <a:hlinkClick r:id="rId1"/>
        </xdr:cNvPr>
        <xdr:cNvSpPr>
          <a:spLocks/>
        </xdr:cNvSpPr>
      </xdr:nvSpPr>
      <xdr:spPr>
        <a:xfrm>
          <a:off x="11515725" y="866775"/>
          <a:ext cx="82867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43</xdr:row>
      <xdr:rowOff>28575</xdr:rowOff>
    </xdr:from>
    <xdr:to>
      <xdr:col>4</xdr:col>
      <xdr:colOff>781050</xdr:colOff>
      <xdr:row>46</xdr:row>
      <xdr:rowOff>85725</xdr:rowOff>
    </xdr:to>
    <xdr:sp>
      <xdr:nvSpPr>
        <xdr:cNvPr id="1" name="Oval 4"/>
        <xdr:cNvSpPr>
          <a:spLocks/>
        </xdr:cNvSpPr>
      </xdr:nvSpPr>
      <xdr:spPr>
        <a:xfrm>
          <a:off x="1095375" y="9153525"/>
          <a:ext cx="781050" cy="7143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114300</xdr:colOff>
      <xdr:row>43</xdr:row>
      <xdr:rowOff>190500</xdr:rowOff>
    </xdr:from>
    <xdr:to>
      <xdr:col>4</xdr:col>
      <xdr:colOff>666750</xdr:colOff>
      <xdr:row>45</xdr:row>
      <xdr:rowOff>180975</xdr:rowOff>
    </xdr:to>
    <xdr:sp>
      <xdr:nvSpPr>
        <xdr:cNvPr id="2" name="WordArt 5"/>
        <xdr:cNvSpPr>
          <a:spLocks/>
        </xdr:cNvSpPr>
      </xdr:nvSpPr>
      <xdr:spPr>
        <a:xfrm rot="160935">
          <a:off x="1209675" y="9315450"/>
          <a:ext cx="552450" cy="428625"/>
        </a:xfrm>
        <a:prstGeom prst="rect"/>
        <a:noFill/>
      </xdr:spPr>
      <xdr:txBody>
        <a:bodyPr fromWordArt="1" wrap="none" lIns="91440" tIns="45720" rIns="91440" bIns="45720">
          <a:prstTxWarp prst="textPlain">
            <a:avLst>
              <a:gd name="adj" fmla="val 50837"/>
            </a:avLst>
          </a:prstTxWarp>
        </a:bodyPr>
        <a:p>
          <a:pPr algn="ctr"/>
          <a:r>
            <a:rPr sz="1000" kern="10" spc="0">
              <a:ln w="9525" cmpd="sng">
                <a:solidFill>
                  <a:srgbClr val="000000"/>
                </a:solidFill>
                <a:headEnd type="none"/>
                <a:tailEnd type="none"/>
              </a:ln>
              <a:solidFill>
                <a:srgbClr val="FFFFFF"/>
              </a:solidFill>
              <a:latin typeface="Arial Black"/>
              <a:cs typeface="Arial Black"/>
            </a:rPr>
            <a:t>NBST /BANKSEAL</a:t>
          </a:r>
        </a:p>
      </xdr:txBody>
    </xdr:sp>
    <xdr:clientData/>
  </xdr:twoCellAnchor>
  <xdr:twoCellAnchor>
    <xdr:from>
      <xdr:col>22</xdr:col>
      <xdr:colOff>66675</xdr:colOff>
      <xdr:row>2</xdr:row>
      <xdr:rowOff>0</xdr:rowOff>
    </xdr:from>
    <xdr:to>
      <xdr:col>22</xdr:col>
      <xdr:colOff>952500</xdr:colOff>
      <xdr:row>3</xdr:row>
      <xdr:rowOff>0</xdr:rowOff>
    </xdr:to>
    <xdr:sp macro="[0]!RoundedRectangle1_Click">
      <xdr:nvSpPr>
        <xdr:cNvPr id="3" name="Rounded Rectangle 3">
          <a:hlinkClick r:id="rId1"/>
        </xdr:cNvPr>
        <xdr:cNvSpPr>
          <a:spLocks/>
        </xdr:cNvSpPr>
      </xdr:nvSpPr>
      <xdr:spPr>
        <a:xfrm>
          <a:off x="7248525" y="457200"/>
          <a:ext cx="885825" cy="3143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CC00"/>
              </a:solidFill>
              <a:latin typeface="Calibri"/>
              <a:ea typeface="Calibri"/>
              <a:cs typeface="Calibri"/>
            </a:rPr>
            <a:t>DATA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New%20Folder\SRRZPHS%20Nuzvid\FR%2022(B)%20MOD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47 cover page"/>
      <sheetName val="refixation proceedins"/>
      <sheetName val="FR 22 (a)(i) proceedings"/>
      <sheetName val="fr22(B) Proceedings"/>
      <sheetName val="Data (2)"/>
      <sheetName val="47 back page"/>
      <sheetName val="PF Shed"/>
      <sheetName val="Annexure I"/>
      <sheetName val="Annexure II"/>
      <sheetName val="Refixation bill 1"/>
      <sheetName val="101"/>
      <sheetName val="Paper Token"/>
      <sheetName val="aptc 49"/>
      <sheetName val="2 steps bill"/>
      <sheetName val="3 steps bill"/>
    </sheetNames>
    <sheetDataSet>
      <sheetData sheetId="8">
        <row r="9">
          <cell r="E9">
            <v>14530</v>
          </cell>
        </row>
        <row r="30">
          <cell r="E30">
            <v>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K55"/>
  <sheetViews>
    <sheetView showGridLines="0" showRowColHeaders="0" tabSelected="1" zoomScalePageLayoutView="0" workbookViewId="0" topLeftCell="A1">
      <selection activeCell="C19" sqref="C19:D19"/>
    </sheetView>
  </sheetViews>
  <sheetFormatPr defaultColWidth="0" defaultRowHeight="15" zeroHeight="1"/>
  <cols>
    <col min="1" max="1" width="5.57421875" style="341" customWidth="1"/>
    <col min="2" max="2" width="35.57421875" style="341" customWidth="1"/>
    <col min="3" max="3" width="13.00390625" style="341" bestFit="1" customWidth="1"/>
    <col min="4" max="4" width="33.28125" style="341" customWidth="1"/>
    <col min="5" max="5" width="5.7109375" style="341" customWidth="1"/>
    <col min="6" max="6" width="16.421875" style="345" customWidth="1"/>
    <col min="7" max="7" width="9.140625" style="345" customWidth="1"/>
    <col min="8" max="8" width="9.140625" style="341" hidden="1" customWidth="1"/>
    <col min="9" max="9" width="10.57421875" style="341" hidden="1" customWidth="1"/>
    <col min="10" max="10" width="6.421875" style="341" hidden="1" customWidth="1"/>
    <col min="11" max="11" width="9.7109375" style="341" hidden="1" customWidth="1"/>
    <col min="12" max="16384" width="9.140625" style="341" hidden="1" customWidth="1"/>
  </cols>
  <sheetData>
    <row r="1" spans="1:7" s="143" customFormat="1" ht="25.5" customHeight="1" thickBot="1">
      <c r="A1" s="261"/>
      <c r="B1" s="261"/>
      <c r="C1" s="261"/>
      <c r="D1" s="261"/>
      <c r="E1" s="261"/>
      <c r="F1" s="344"/>
      <c r="G1" s="344"/>
    </row>
    <row r="2" spans="1:7" s="143" customFormat="1" ht="21" customHeight="1" thickBot="1" thickTop="1">
      <c r="A2" s="261"/>
      <c r="B2" s="408" t="s">
        <v>334</v>
      </c>
      <c r="C2" s="409"/>
      <c r="D2" s="410"/>
      <c r="E2" s="261"/>
      <c r="F2" s="344"/>
      <c r="G2" s="344"/>
    </row>
    <row r="3" spans="1:7" s="143" customFormat="1" ht="57" customHeight="1" thickBot="1" thickTop="1">
      <c r="A3" s="261"/>
      <c r="B3" s="411"/>
      <c r="C3" s="409"/>
      <c r="D3" s="410"/>
      <c r="E3" s="261"/>
      <c r="F3" s="344"/>
      <c r="G3" s="344"/>
    </row>
    <row r="4" spans="1:7" s="143" customFormat="1" ht="21" thickBot="1" thickTop="1">
      <c r="A4" s="261"/>
      <c r="B4" s="63" t="s">
        <v>320</v>
      </c>
      <c r="C4" s="384" t="s">
        <v>336</v>
      </c>
      <c r="D4" s="381" t="s">
        <v>341</v>
      </c>
      <c r="E4" s="261"/>
      <c r="F4" s="344"/>
      <c r="G4" s="344"/>
    </row>
    <row r="5" spans="1:7" s="143" customFormat="1" ht="21" thickBot="1" thickTop="1">
      <c r="A5" s="261"/>
      <c r="B5" s="63" t="s">
        <v>0</v>
      </c>
      <c r="C5" s="384"/>
      <c r="D5" s="381" t="s">
        <v>317</v>
      </c>
      <c r="E5" s="261"/>
      <c r="F5" s="344"/>
      <c r="G5" s="344"/>
    </row>
    <row r="6" spans="1:7" s="143" customFormat="1" ht="21" thickBot="1" thickTop="1">
      <c r="A6" s="261"/>
      <c r="B6" s="63" t="s">
        <v>318</v>
      </c>
      <c r="C6" s="384"/>
      <c r="D6" s="381" t="s">
        <v>319</v>
      </c>
      <c r="E6" s="261"/>
      <c r="F6" s="344"/>
      <c r="G6" s="344"/>
    </row>
    <row r="7" spans="1:7" s="143" customFormat="1" ht="21" thickBot="1" thickTop="1">
      <c r="A7" s="261"/>
      <c r="B7" s="63" t="s">
        <v>337</v>
      </c>
      <c r="C7" s="384"/>
      <c r="D7" s="381" t="s">
        <v>340</v>
      </c>
      <c r="E7" s="261"/>
      <c r="F7" s="344"/>
      <c r="G7" s="344"/>
    </row>
    <row r="8" spans="1:7" s="143" customFormat="1" ht="40.5" thickBot="1" thickTop="1">
      <c r="A8" s="261"/>
      <c r="B8" s="380" t="s">
        <v>339</v>
      </c>
      <c r="C8" s="384"/>
      <c r="D8" s="381"/>
      <c r="E8" s="261"/>
      <c r="F8" s="344"/>
      <c r="G8" s="344"/>
    </row>
    <row r="9" spans="1:7" s="143" customFormat="1" ht="40.5" thickBot="1" thickTop="1">
      <c r="A9" s="261"/>
      <c r="B9" s="380" t="s">
        <v>338</v>
      </c>
      <c r="C9" s="384"/>
      <c r="D9" s="382"/>
      <c r="E9" s="261"/>
      <c r="F9" s="344"/>
      <c r="G9" s="344"/>
    </row>
    <row r="10" spans="1:8" s="143" customFormat="1" ht="23.25" customHeight="1" thickBot="1" thickTop="1">
      <c r="A10" s="261"/>
      <c r="B10" s="193" t="s">
        <v>313</v>
      </c>
      <c r="C10" s="384"/>
      <c r="D10" s="383">
        <v>41152</v>
      </c>
      <c r="E10" s="261"/>
      <c r="F10" s="344"/>
      <c r="G10" s="344"/>
      <c r="H10" s="144"/>
    </row>
    <row r="11" spans="1:7" s="143" customFormat="1" ht="21" thickBot="1" thickTop="1">
      <c r="A11" s="261"/>
      <c r="B11" s="412" t="s">
        <v>4</v>
      </c>
      <c r="C11" s="413"/>
      <c r="D11" s="414"/>
      <c r="E11" s="261"/>
      <c r="F11" s="344"/>
      <c r="G11" s="344"/>
    </row>
    <row r="12" spans="1:7" s="143" customFormat="1" ht="21" thickBot="1" thickTop="1">
      <c r="A12" s="261"/>
      <c r="B12" s="64" t="s">
        <v>5</v>
      </c>
      <c r="C12" s="64" t="s">
        <v>6</v>
      </c>
      <c r="D12" s="64" t="s">
        <v>107</v>
      </c>
      <c r="E12" s="261"/>
      <c r="F12" s="344"/>
      <c r="G12" s="344"/>
    </row>
    <row r="13" spans="1:7" s="143" customFormat="1" ht="17.25" thickBot="1" thickTop="1">
      <c r="A13" s="261"/>
      <c r="B13" s="207">
        <v>30987</v>
      </c>
      <c r="C13" s="207">
        <v>34638</v>
      </c>
      <c r="D13" s="208">
        <v>10</v>
      </c>
      <c r="E13" s="261"/>
      <c r="F13" s="344"/>
      <c r="G13" s="344"/>
    </row>
    <row r="14" spans="1:7" s="143" customFormat="1" ht="17.25" thickBot="1" thickTop="1">
      <c r="A14" s="261"/>
      <c r="B14" s="207">
        <v>34639</v>
      </c>
      <c r="C14" s="207">
        <v>36099</v>
      </c>
      <c r="D14" s="208">
        <v>15</v>
      </c>
      <c r="E14" s="261"/>
      <c r="F14" s="344"/>
      <c r="G14" s="344"/>
    </row>
    <row r="15" spans="1:7" s="143" customFormat="1" ht="17.25" thickBot="1" thickTop="1">
      <c r="A15" s="261"/>
      <c r="B15" s="207">
        <v>36100</v>
      </c>
      <c r="C15" s="207">
        <v>41152</v>
      </c>
      <c r="D15" s="208">
        <v>30</v>
      </c>
      <c r="E15" s="261"/>
      <c r="F15" s="344"/>
      <c r="G15" s="344"/>
    </row>
    <row r="16" spans="1:7" s="143" customFormat="1" ht="17.25" thickBot="1" thickTop="1">
      <c r="A16" s="261"/>
      <c r="B16" s="207"/>
      <c r="C16" s="207"/>
      <c r="D16" s="208"/>
      <c r="E16" s="261"/>
      <c r="F16" s="344"/>
      <c r="G16" s="344"/>
    </row>
    <row r="17" spans="1:7" s="143" customFormat="1" ht="17.25" thickBot="1" thickTop="1">
      <c r="A17" s="261"/>
      <c r="B17" s="207"/>
      <c r="C17" s="207"/>
      <c r="D17" s="208"/>
      <c r="E17" s="261"/>
      <c r="F17" s="344"/>
      <c r="G17" s="344"/>
    </row>
    <row r="18" spans="1:7" s="143" customFormat="1" ht="27.75" thickBot="1" thickTop="1">
      <c r="A18" s="261"/>
      <c r="B18" s="415" t="s">
        <v>166</v>
      </c>
      <c r="C18" s="416"/>
      <c r="D18" s="417"/>
      <c r="E18" s="261"/>
      <c r="F18" s="344"/>
      <c r="G18" s="344"/>
    </row>
    <row r="19" spans="1:7" s="143" customFormat="1" ht="19.5" thickBot="1" thickTop="1">
      <c r="A19" s="261"/>
      <c r="B19" s="385" t="s">
        <v>159</v>
      </c>
      <c r="C19" s="418" t="s">
        <v>324</v>
      </c>
      <c r="D19" s="419"/>
      <c r="E19" s="261"/>
      <c r="F19" s="344"/>
      <c r="G19" s="344"/>
    </row>
    <row r="20" spans="1:7" s="143" customFormat="1" ht="19.5" thickBot="1" thickTop="1">
      <c r="A20" s="261"/>
      <c r="B20" s="385" t="s">
        <v>160</v>
      </c>
      <c r="C20" s="402" t="s">
        <v>322</v>
      </c>
      <c r="D20" s="403"/>
      <c r="E20" s="261"/>
      <c r="F20" s="344"/>
      <c r="G20" s="344"/>
    </row>
    <row r="21" spans="1:7" s="143" customFormat="1" ht="19.5" thickBot="1" thickTop="1">
      <c r="A21" s="261"/>
      <c r="B21" s="385" t="s">
        <v>236</v>
      </c>
      <c r="C21" s="402" t="s">
        <v>331</v>
      </c>
      <c r="D21" s="403"/>
      <c r="E21" s="261"/>
      <c r="F21" s="344"/>
      <c r="G21" s="344"/>
    </row>
    <row r="22" spans="1:7" s="143" customFormat="1" ht="19.5" thickBot="1" thickTop="1">
      <c r="A22" s="261"/>
      <c r="B22" s="385" t="s">
        <v>161</v>
      </c>
      <c r="C22" s="402" t="s">
        <v>329</v>
      </c>
      <c r="D22" s="403"/>
      <c r="E22" s="261"/>
      <c r="F22" s="344"/>
      <c r="G22" s="344"/>
    </row>
    <row r="23" spans="1:7" s="143" customFormat="1" ht="19.5" thickBot="1" thickTop="1">
      <c r="A23" s="261"/>
      <c r="B23" s="386" t="s">
        <v>321</v>
      </c>
      <c r="C23" s="402" t="s">
        <v>330</v>
      </c>
      <c r="D23" s="403"/>
      <c r="E23" s="261"/>
      <c r="F23" s="344"/>
      <c r="G23" s="344"/>
    </row>
    <row r="24" spans="1:7" s="143" customFormat="1" ht="19.5" thickBot="1" thickTop="1">
      <c r="A24" s="261"/>
      <c r="B24" s="386" t="s">
        <v>245</v>
      </c>
      <c r="C24" s="404" t="s">
        <v>323</v>
      </c>
      <c r="D24" s="405"/>
      <c r="E24" s="261"/>
      <c r="F24" s="344"/>
      <c r="G24" s="344"/>
    </row>
    <row r="25" spans="1:7" s="143" customFormat="1" ht="20.25" thickBot="1" thickTop="1">
      <c r="A25" s="261"/>
      <c r="B25" s="386" t="s">
        <v>246</v>
      </c>
      <c r="C25" s="406">
        <f ca="1">TODAY()</f>
        <v>41772</v>
      </c>
      <c r="D25" s="407"/>
      <c r="E25" s="261"/>
      <c r="F25" s="344"/>
      <c r="G25" s="344"/>
    </row>
    <row r="26" spans="1:7" s="143" customFormat="1" ht="19.5" thickBot="1" thickTop="1">
      <c r="A26" s="261"/>
      <c r="B26" s="385" t="s">
        <v>162</v>
      </c>
      <c r="C26" s="400" t="s">
        <v>332</v>
      </c>
      <c r="D26" s="401"/>
      <c r="E26" s="261"/>
      <c r="F26" s="344"/>
      <c r="G26" s="344"/>
    </row>
    <row r="27" spans="1:7" s="143" customFormat="1" ht="19.5" thickBot="1" thickTop="1">
      <c r="A27" s="261"/>
      <c r="B27" s="385" t="s">
        <v>163</v>
      </c>
      <c r="C27" s="398">
        <v>41609</v>
      </c>
      <c r="D27" s="399"/>
      <c r="E27" s="261"/>
      <c r="F27" s="344"/>
      <c r="G27" s="344"/>
    </row>
    <row r="28" spans="1:7" s="143" customFormat="1" ht="19.5" thickBot="1" thickTop="1">
      <c r="A28" s="261"/>
      <c r="B28" s="385" t="s">
        <v>164</v>
      </c>
      <c r="C28" s="400" t="s">
        <v>335</v>
      </c>
      <c r="D28" s="401"/>
      <c r="E28" s="261"/>
      <c r="F28" s="344"/>
      <c r="G28" s="344"/>
    </row>
    <row r="29" spans="1:7" s="143" customFormat="1" ht="19.5" thickBot="1" thickTop="1">
      <c r="A29" s="261"/>
      <c r="B29" s="385" t="s">
        <v>165</v>
      </c>
      <c r="C29" s="402" t="s">
        <v>325</v>
      </c>
      <c r="D29" s="403"/>
      <c r="E29" s="261"/>
      <c r="F29" s="344"/>
      <c r="G29" s="344"/>
    </row>
    <row r="30" spans="1:7" s="143" customFormat="1" ht="25.5" customHeight="1" thickTop="1">
      <c r="A30" s="261"/>
      <c r="B30" s="261"/>
      <c r="C30" s="261"/>
      <c r="D30" s="261"/>
      <c r="E30" s="261"/>
      <c r="F30" s="344"/>
      <c r="G30" s="344"/>
    </row>
    <row r="31" ht="15" hidden="1"/>
    <row r="32" ht="15" hidden="1"/>
    <row r="33" ht="15" hidden="1"/>
    <row r="34" ht="15" hidden="1"/>
    <row r="35" spans="6:7" ht="15" hidden="1">
      <c r="F35" s="345">
        <v>1</v>
      </c>
      <c r="G35" s="345">
        <v>86</v>
      </c>
    </row>
    <row r="36" spans="6:7" ht="15" hidden="1">
      <c r="F36" s="345">
        <v>2</v>
      </c>
      <c r="G36" s="345">
        <v>181</v>
      </c>
    </row>
    <row r="37" spans="6:9" ht="15" hidden="1">
      <c r="F37" s="345">
        <v>3</v>
      </c>
      <c r="G37" s="345">
        <v>286</v>
      </c>
      <c r="I37" s="341" t="str">
        <f>DAY(B13)&amp;"-"&amp;MONTH(B13)&amp;"-"&amp;YEAR(B13)</f>
        <v>1-11-1984</v>
      </c>
    </row>
    <row r="38" spans="6:7" ht="15" hidden="1">
      <c r="F38" s="345">
        <v>4</v>
      </c>
      <c r="G38" s="345">
        <v>402</v>
      </c>
    </row>
    <row r="39" spans="6:11" ht="15" hidden="1">
      <c r="F39" s="345">
        <v>5</v>
      </c>
      <c r="G39" s="345">
        <v>530</v>
      </c>
      <c r="I39" s="341" t="str">
        <f>DAY(D10)&amp;"-"&amp;MONTH(D10)&amp;"-"&amp;YEAR(D10)</f>
        <v>31-8-2012</v>
      </c>
      <c r="J39" s="341">
        <f>MONTH(D10)</f>
        <v>8</v>
      </c>
      <c r="K39" s="342" t="str">
        <f>IF(J39&gt;10,YEAR(D10)&amp;"-"&amp;YEAR(D10)+1,YEAR(D10)-1&amp;"-"&amp;YEAR(D10))</f>
        <v>2011-2012</v>
      </c>
    </row>
    <row r="40" spans="6:7" ht="15" hidden="1">
      <c r="F40" s="345">
        <v>6</v>
      </c>
      <c r="G40" s="345">
        <v>669</v>
      </c>
    </row>
    <row r="41" spans="6:7" ht="15" hidden="1">
      <c r="F41" s="345">
        <v>7</v>
      </c>
      <c r="G41" s="345">
        <v>822</v>
      </c>
    </row>
    <row r="42" spans="6:7" ht="15" hidden="1">
      <c r="F42" s="345">
        <v>8</v>
      </c>
      <c r="G42" s="345">
        <v>990</v>
      </c>
    </row>
    <row r="43" spans="6:7" ht="15" hidden="1">
      <c r="F43" s="345">
        <v>9</v>
      </c>
      <c r="G43" s="345">
        <v>1179</v>
      </c>
    </row>
    <row r="44" spans="6:7" ht="15" hidden="1">
      <c r="F44" s="345">
        <v>10</v>
      </c>
      <c r="G44" s="345">
        <v>1388</v>
      </c>
    </row>
    <row r="45" ht="15" hidden="1"/>
    <row r="46" ht="15" hidden="1"/>
    <row r="47" ht="15" hidden="1"/>
    <row r="48" ht="15" hidden="1"/>
    <row r="49" ht="15" hidden="1">
      <c r="F49" s="346">
        <v>34639</v>
      </c>
    </row>
    <row r="50" ht="15" hidden="1">
      <c r="F50" s="346"/>
    </row>
    <row r="51" ht="15" hidden="1"/>
    <row r="52" ht="15" hidden="1"/>
    <row r="53" ht="15" hidden="1"/>
    <row r="54" ht="15" hidden="1"/>
    <row r="55" spans="6:7" ht="15" hidden="1">
      <c r="F55" s="347">
        <f>MONTH(C27)</f>
        <v>12</v>
      </c>
      <c r="G55" s="345">
        <f>YEAR(C27)</f>
        <v>2013</v>
      </c>
    </row>
  </sheetData>
  <sheetProtection password="D590" sheet="1" selectLockedCells="1"/>
  <mergeCells count="14">
    <mergeCell ref="B2:D3"/>
    <mergeCell ref="B11:D11"/>
    <mergeCell ref="B18:D18"/>
    <mergeCell ref="C23:D23"/>
    <mergeCell ref="C19:D19"/>
    <mergeCell ref="C20:D20"/>
    <mergeCell ref="C21:D21"/>
    <mergeCell ref="C22:D22"/>
    <mergeCell ref="C27:D27"/>
    <mergeCell ref="C28:D28"/>
    <mergeCell ref="C29:D29"/>
    <mergeCell ref="C26:D26"/>
    <mergeCell ref="C24:D24"/>
    <mergeCell ref="C25:D25"/>
  </mergeCells>
  <dataValidations count="2">
    <dataValidation type="list" allowBlank="1" showInputMessage="1" showErrorMessage="1" sqref="C4 C8">
      <formula1>"Sri, Smt., Kum."</formula1>
    </dataValidation>
    <dataValidation type="list" allowBlank="1" showInputMessage="1" showErrorMessage="1" sqref="D7">
      <formula1>"Retired case, Death case"</formula1>
    </dataValidation>
  </dataValidations>
  <printOptions horizontalCentered="1"/>
  <pageMargins left="0.54" right="0.4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B1:K27"/>
  <sheetViews>
    <sheetView showGridLines="0" showRowColHeaders="0" zoomScalePageLayoutView="0" workbookViewId="0" topLeftCell="B1">
      <selection activeCell="A1" sqref="A1"/>
    </sheetView>
  </sheetViews>
  <sheetFormatPr defaultColWidth="0" defaultRowHeight="15" customHeight="1" zeroHeight="1"/>
  <cols>
    <col min="1" max="1" width="4.28125" style="272" customWidth="1"/>
    <col min="2" max="2" width="4.00390625" style="85" customWidth="1"/>
    <col min="3" max="3" width="22.00390625" style="85" customWidth="1"/>
    <col min="4" max="4" width="8.8515625" style="85" customWidth="1"/>
    <col min="5" max="5" width="9.421875" style="85" customWidth="1"/>
    <col min="6" max="6" width="15.00390625" style="85" customWidth="1"/>
    <col min="7" max="7" width="13.28125" style="85" customWidth="1"/>
    <col min="8" max="8" width="11.7109375" style="85" customWidth="1"/>
    <col min="9" max="9" width="9.140625" style="85" customWidth="1"/>
    <col min="10" max="10" width="4.57421875" style="272" customWidth="1"/>
    <col min="11" max="11" width="15.8515625" style="375" customWidth="1"/>
    <col min="12" max="16384" width="9.140625" style="85" hidden="1" customWidth="1"/>
  </cols>
  <sheetData>
    <row r="1" spans="2:9" ht="21" customHeight="1" thickBot="1">
      <c r="B1" s="272"/>
      <c r="C1" s="272"/>
      <c r="D1" s="272"/>
      <c r="E1" s="272"/>
      <c r="F1" s="272"/>
      <c r="G1" s="272"/>
      <c r="H1" s="272"/>
      <c r="I1" s="272"/>
    </row>
    <row r="2" spans="2:9" ht="15">
      <c r="B2" s="494" t="s">
        <v>77</v>
      </c>
      <c r="C2" s="496" t="s">
        <v>78</v>
      </c>
      <c r="D2" s="496" t="s">
        <v>79</v>
      </c>
      <c r="E2" s="496" t="s">
        <v>80</v>
      </c>
      <c r="F2" s="498" t="s">
        <v>81</v>
      </c>
      <c r="G2" s="498" t="s">
        <v>82</v>
      </c>
      <c r="H2" s="498"/>
      <c r="I2" s="486" t="s">
        <v>3</v>
      </c>
    </row>
    <row r="3" spans="2:9" ht="46.5" customHeight="1">
      <c r="B3" s="495" t="s">
        <v>77</v>
      </c>
      <c r="C3" s="497" t="s">
        <v>78</v>
      </c>
      <c r="D3" s="497" t="s">
        <v>79</v>
      </c>
      <c r="E3" s="497" t="s">
        <v>80</v>
      </c>
      <c r="F3" s="499" t="s">
        <v>81</v>
      </c>
      <c r="G3" s="117" t="s">
        <v>299</v>
      </c>
      <c r="H3" s="339" t="s">
        <v>83</v>
      </c>
      <c r="I3" s="487" t="s">
        <v>3</v>
      </c>
    </row>
    <row r="4" spans="2:9" ht="15">
      <c r="B4" s="215" t="s">
        <v>84</v>
      </c>
      <c r="C4" s="118" t="s">
        <v>85</v>
      </c>
      <c r="D4" s="118" t="s">
        <v>86</v>
      </c>
      <c r="E4" s="118" t="s">
        <v>87</v>
      </c>
      <c r="F4" s="118" t="s">
        <v>88</v>
      </c>
      <c r="G4" s="118" t="s">
        <v>89</v>
      </c>
      <c r="H4" s="118" t="s">
        <v>90</v>
      </c>
      <c r="I4" s="216" t="s">
        <v>91</v>
      </c>
    </row>
    <row r="5" spans="2:9" ht="83.25" customHeight="1">
      <c r="B5" s="217">
        <v>1</v>
      </c>
      <c r="C5" s="337" t="str">
        <f>Data!D4&amp;", "&amp;Data!D5</f>
        <v>Bandi Babji, Driver</v>
      </c>
      <c r="D5" s="158"/>
      <c r="E5" s="159"/>
      <c r="F5" s="484" t="str">
        <f>"Proceedings RC No."&amp;Data!C24&amp;" dated."&amp;DAY(Data!C25)&amp;"-"&amp;MONTH(Data!C25)&amp;"-"&amp;YEAR(Data!C25)&amp;" of the "&amp;Data!C22&amp;", "&amp;Data!C23</f>
        <v>Proceedings RC No.2/2011 E dated.13-5-2014 of the District Forest Officer, Kakinada Division, Kakinada</v>
      </c>
      <c r="G5" s="160">
        <f>'Calculation sheet'!G26</f>
        <v>4815</v>
      </c>
      <c r="H5" s="159"/>
      <c r="I5" s="218"/>
    </row>
    <row r="6" spans="2:9" ht="83.25" customHeight="1">
      <c r="B6" s="219"/>
      <c r="C6" s="338"/>
      <c r="D6" s="161"/>
      <c r="E6" s="162"/>
      <c r="F6" s="485"/>
      <c r="G6" s="162"/>
      <c r="H6" s="162"/>
      <c r="I6" s="220"/>
    </row>
    <row r="7" spans="2:9" ht="51" customHeight="1">
      <c r="B7" s="219"/>
      <c r="C7" s="122"/>
      <c r="D7" s="122"/>
      <c r="E7" s="122"/>
      <c r="F7" s="122"/>
      <c r="G7" s="122"/>
      <c r="H7" s="122"/>
      <c r="I7" s="221"/>
    </row>
    <row r="8" spans="2:9" ht="83.25" customHeight="1">
      <c r="B8" s="219"/>
      <c r="C8" s="120"/>
      <c r="D8" s="121"/>
      <c r="E8" s="119"/>
      <c r="F8" s="121"/>
      <c r="G8" s="119"/>
      <c r="H8" s="119"/>
      <c r="I8" s="222"/>
    </row>
    <row r="9" spans="2:9" ht="15">
      <c r="B9" s="223"/>
      <c r="C9" s="124" t="s">
        <v>9</v>
      </c>
      <c r="D9" s="123"/>
      <c r="E9" s="123"/>
      <c r="F9" s="123"/>
      <c r="G9" s="125">
        <f>G5</f>
        <v>4815</v>
      </c>
      <c r="H9" s="123"/>
      <c r="I9" s="224"/>
    </row>
    <row r="10" spans="2:9" ht="15">
      <c r="B10" s="225"/>
      <c r="C10" s="89"/>
      <c r="D10" s="89"/>
      <c r="E10" s="89"/>
      <c r="F10" s="89"/>
      <c r="G10" s="89"/>
      <c r="H10" s="89"/>
      <c r="I10" s="226"/>
    </row>
    <row r="11" spans="2:9" ht="15">
      <c r="B11" s="225"/>
      <c r="C11" s="89"/>
      <c r="D11" s="89"/>
      <c r="E11" s="89"/>
      <c r="F11" s="89"/>
      <c r="G11" s="89"/>
      <c r="H11" s="89"/>
      <c r="I11" s="226"/>
    </row>
    <row r="12" spans="2:9" ht="15.75">
      <c r="B12" s="225"/>
      <c r="C12" s="89"/>
      <c r="D12" s="89"/>
      <c r="E12" s="89"/>
      <c r="F12" s="89"/>
      <c r="G12" s="227" t="s">
        <v>12</v>
      </c>
      <c r="H12" s="89"/>
      <c r="I12" s="226"/>
    </row>
    <row r="13" spans="2:9" ht="15">
      <c r="B13" s="225"/>
      <c r="C13" s="89"/>
      <c r="D13" s="89"/>
      <c r="E13" s="89"/>
      <c r="F13" s="89"/>
      <c r="G13" s="89"/>
      <c r="H13" s="89"/>
      <c r="I13" s="226"/>
    </row>
    <row r="14" spans="2:9" ht="27" customHeight="1">
      <c r="B14" s="228"/>
      <c r="C14" s="126" t="s">
        <v>97</v>
      </c>
      <c r="D14" s="126"/>
      <c r="E14" s="126"/>
      <c r="F14" s="127" t="str">
        <f>Data!C22&amp;", "&amp;Data!C23</f>
        <v>District Forest Officer, Kakinada Division, Kakinada</v>
      </c>
      <c r="G14" s="127"/>
      <c r="H14" s="127"/>
      <c r="I14" s="229"/>
    </row>
    <row r="15" spans="2:9" ht="15">
      <c r="B15" s="225"/>
      <c r="C15" s="89"/>
      <c r="D15" s="89"/>
      <c r="E15" s="89"/>
      <c r="F15" s="89"/>
      <c r="G15" s="89"/>
      <c r="H15" s="89"/>
      <c r="I15" s="226"/>
    </row>
    <row r="16" spans="2:9" ht="15">
      <c r="B16" s="225"/>
      <c r="C16" s="89" t="s">
        <v>96</v>
      </c>
      <c r="D16" s="89"/>
      <c r="E16" s="89"/>
      <c r="F16" s="89"/>
      <c r="G16" s="89"/>
      <c r="H16" s="89"/>
      <c r="I16" s="226"/>
    </row>
    <row r="17" spans="2:9" ht="15">
      <c r="B17" s="230"/>
      <c r="C17" s="128"/>
      <c r="D17" s="128"/>
      <c r="E17" s="128"/>
      <c r="F17" s="128"/>
      <c r="G17" s="128"/>
      <c r="H17" s="128"/>
      <c r="I17" s="231"/>
    </row>
    <row r="18" spans="2:9" ht="15">
      <c r="B18" s="225"/>
      <c r="C18" s="89"/>
      <c r="D18" s="89"/>
      <c r="E18" s="89"/>
      <c r="F18" s="89"/>
      <c r="G18" s="89"/>
      <c r="H18" s="89"/>
      <c r="I18" s="226"/>
    </row>
    <row r="19" spans="2:9" ht="18.75">
      <c r="B19" s="488" t="s">
        <v>13</v>
      </c>
      <c r="C19" s="489"/>
      <c r="D19" s="489"/>
      <c r="E19" s="489"/>
      <c r="F19" s="489"/>
      <c r="G19" s="489"/>
      <c r="H19" s="489"/>
      <c r="I19" s="490"/>
    </row>
    <row r="20" spans="2:9" ht="21" customHeight="1">
      <c r="B20" s="225" t="s">
        <v>98</v>
      </c>
      <c r="C20" s="89"/>
      <c r="D20" s="89"/>
      <c r="E20" s="89"/>
      <c r="F20" s="89"/>
      <c r="G20" s="89"/>
      <c r="H20" s="89"/>
      <c r="I20" s="226"/>
    </row>
    <row r="21" spans="2:9" ht="21" customHeight="1">
      <c r="B21" s="225" t="s">
        <v>99</v>
      </c>
      <c r="C21" s="89"/>
      <c r="D21" s="89"/>
      <c r="E21" s="89"/>
      <c r="F21" s="89"/>
      <c r="G21" s="89"/>
      <c r="H21" s="89"/>
      <c r="I21" s="226"/>
    </row>
    <row r="22" spans="2:9" ht="21" customHeight="1">
      <c r="B22" s="225" t="s">
        <v>100</v>
      </c>
      <c r="C22" s="89"/>
      <c r="D22" s="89"/>
      <c r="E22" s="89"/>
      <c r="F22" s="89"/>
      <c r="G22" s="89"/>
      <c r="H22" s="89"/>
      <c r="I22" s="226"/>
    </row>
    <row r="23" spans="2:9" ht="15">
      <c r="B23" s="225"/>
      <c r="C23" s="89"/>
      <c r="D23" s="89"/>
      <c r="E23" s="89"/>
      <c r="F23" s="89"/>
      <c r="G23" s="89"/>
      <c r="H23" s="89"/>
      <c r="I23" s="226"/>
    </row>
    <row r="24" spans="2:9" ht="15">
      <c r="B24" s="225" t="s">
        <v>72</v>
      </c>
      <c r="C24" s="89"/>
      <c r="D24" s="89"/>
      <c r="E24" s="89"/>
      <c r="F24" s="89"/>
      <c r="G24" s="89" t="s">
        <v>101</v>
      </c>
      <c r="H24" s="89"/>
      <c r="I24" s="226"/>
    </row>
    <row r="25" spans="2:9" ht="15">
      <c r="B25" s="225"/>
      <c r="C25" s="89"/>
      <c r="D25" s="89"/>
      <c r="E25" s="89"/>
      <c r="F25" s="89"/>
      <c r="G25" s="89"/>
      <c r="H25" s="89"/>
      <c r="I25" s="226"/>
    </row>
    <row r="26" spans="2:9" ht="67.5" customHeight="1" thickBot="1">
      <c r="B26" s="564" t="s">
        <v>14</v>
      </c>
      <c r="C26" s="565"/>
      <c r="D26" s="565"/>
      <c r="E26" s="565"/>
      <c r="F26" s="565"/>
      <c r="G26" s="565"/>
      <c r="H26" s="565"/>
      <c r="I26" s="566"/>
    </row>
    <row r="27" spans="2:11" s="272" customFormat="1" ht="19.5" customHeight="1">
      <c r="B27" s="272" t="s">
        <v>72</v>
      </c>
      <c r="K27" s="375"/>
    </row>
  </sheetData>
  <sheetProtection password="D590" sheet="1" objects="1" scenarios="1" selectLockedCells="1"/>
  <mergeCells count="10">
    <mergeCell ref="I2:I3"/>
    <mergeCell ref="F5:F6"/>
    <mergeCell ref="B19:I19"/>
    <mergeCell ref="B26:I26"/>
    <mergeCell ref="B2:B3"/>
    <mergeCell ref="C2:C3"/>
    <mergeCell ref="D2:D3"/>
    <mergeCell ref="E2:E3"/>
    <mergeCell ref="F2:F3"/>
    <mergeCell ref="G2:H2"/>
  </mergeCells>
  <printOptions/>
  <pageMargins left="0.5" right="0.53" top="0.52" bottom="0.52"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BE142"/>
  <sheetViews>
    <sheetView showGridLines="0" showRowColHeaders="0" zoomScalePageLayoutView="0" workbookViewId="0" topLeftCell="A1">
      <selection activeCell="A1" sqref="A1"/>
    </sheetView>
  </sheetViews>
  <sheetFormatPr defaultColWidth="0" defaultRowHeight="12.75" customHeight="1" zeroHeight="1"/>
  <cols>
    <col min="1" max="1" width="5.00390625" style="307" customWidth="1"/>
    <col min="2" max="2" width="11.7109375" style="62" customWidth="1"/>
    <col min="3" max="3" width="4.00390625" style="62" customWidth="1"/>
    <col min="4" max="4" width="0.42578125" style="62" customWidth="1"/>
    <col min="5" max="5" width="4.140625" style="62" customWidth="1"/>
    <col min="6" max="6" width="0.42578125" style="62" customWidth="1"/>
    <col min="7" max="7" width="4.00390625" style="62" customWidth="1"/>
    <col min="8" max="8" width="0.42578125" style="62" customWidth="1"/>
    <col min="9" max="9" width="4.00390625" style="62" customWidth="1"/>
    <col min="10" max="10" width="0.42578125" style="62" customWidth="1"/>
    <col min="11" max="11" width="4.00390625" style="62" customWidth="1"/>
    <col min="12" max="12" width="1.7109375" style="62" customWidth="1"/>
    <col min="13" max="13" width="4.00390625" style="62" customWidth="1"/>
    <col min="14" max="14" width="0.42578125" style="62" customWidth="1"/>
    <col min="15" max="15" width="4.140625" style="62" customWidth="1"/>
    <col min="16" max="16" width="0.42578125" style="62" customWidth="1"/>
    <col min="17" max="17" width="1.7109375" style="62" customWidth="1"/>
    <col min="18" max="18" width="3.00390625" style="62" customWidth="1"/>
    <col min="19" max="19" width="1.7109375" style="62" customWidth="1"/>
    <col min="20" max="20" width="0.42578125" style="62" customWidth="1"/>
    <col min="21" max="21" width="4.00390625" style="62" customWidth="1"/>
    <col min="22" max="22" width="0.42578125" style="62" customWidth="1"/>
    <col min="23" max="23" width="4.00390625" style="62" customWidth="1"/>
    <col min="24" max="24" width="0.42578125" style="62" customWidth="1"/>
    <col min="25" max="25" width="1.28515625" style="62" customWidth="1"/>
    <col min="26" max="26" width="3.140625" style="62" customWidth="1"/>
    <col min="27" max="27" width="0.42578125" style="62" customWidth="1"/>
    <col min="28" max="28" width="0.85546875" style="62" customWidth="1"/>
    <col min="29" max="29" width="0.42578125" style="62" customWidth="1"/>
    <col min="30" max="30" width="2.8515625" style="62" customWidth="1"/>
    <col min="31" max="31" width="0.42578125" style="62" customWidth="1"/>
    <col min="32" max="32" width="0.85546875" style="62" customWidth="1"/>
    <col min="33" max="33" width="3.8515625" style="62" customWidth="1"/>
    <col min="34" max="34" width="1.1484375" style="62" customWidth="1"/>
    <col min="35" max="36" width="0" style="62" hidden="1" customWidth="1"/>
    <col min="37" max="37" width="7.140625" style="62" customWidth="1"/>
    <col min="38" max="38" width="6.7109375" style="62" customWidth="1"/>
    <col min="39" max="39" width="12.140625" style="62" customWidth="1"/>
    <col min="40" max="40" width="4.421875" style="62" hidden="1" customWidth="1"/>
    <col min="41" max="41" width="9.140625" style="62" customWidth="1"/>
    <col min="42" max="42" width="7.28125" style="62" customWidth="1"/>
    <col min="43" max="43" width="9.140625" style="62" customWidth="1"/>
    <col min="44" max="44" width="7.28125" style="62" customWidth="1"/>
    <col min="45" max="45" width="7.00390625" style="62" customWidth="1"/>
    <col min="46" max="46" width="7.421875" style="62" customWidth="1"/>
    <col min="47" max="47" width="12.28125" style="62" customWidth="1"/>
    <col min="48" max="48" width="4.7109375" style="307" customWidth="1"/>
    <col min="49" max="49" width="14.00390625" style="364" customWidth="1"/>
    <col min="50" max="51" width="9.140625" style="62" hidden="1" customWidth="1"/>
    <col min="52" max="52" width="9.140625" style="1" hidden="1" customWidth="1"/>
    <col min="53" max="53" width="12.421875" style="1" hidden="1" customWidth="1"/>
    <col min="54" max="54" width="9.57421875" style="1" hidden="1" customWidth="1"/>
    <col min="55" max="57" width="9.140625" style="1" hidden="1" customWidth="1"/>
    <col min="58" max="16384" width="9.140625" style="62" hidden="1" customWidth="1"/>
  </cols>
  <sheetData>
    <row r="1" spans="49:57" s="307" customFormat="1" ht="22.5" customHeight="1" thickBot="1">
      <c r="AW1" s="364"/>
      <c r="AZ1" s="262"/>
      <c r="BA1" s="262"/>
      <c r="BB1" s="262"/>
      <c r="BC1" s="262"/>
      <c r="BD1" s="262"/>
      <c r="BE1" s="262"/>
    </row>
    <row r="2" spans="2:51" ht="20.25">
      <c r="B2" s="559" t="s">
        <v>168</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1"/>
      <c r="AJ2" s="62">
        <f>'[1]Annexure I'!E9</f>
        <v>14530</v>
      </c>
      <c r="AM2" s="556" t="s">
        <v>169</v>
      </c>
      <c r="AN2" s="557"/>
      <c r="AO2" s="557"/>
      <c r="AP2" s="557"/>
      <c r="AQ2" s="557"/>
      <c r="AR2" s="557"/>
      <c r="AS2" s="557"/>
      <c r="AT2" s="557"/>
      <c r="AU2" s="558"/>
      <c r="AY2" s="62">
        <f>'[1]Annexure I'!AN9</f>
        <v>0</v>
      </c>
    </row>
    <row r="3" spans="2:51" ht="15" customHeight="1">
      <c r="B3" s="273"/>
      <c r="C3" s="274"/>
      <c r="D3" s="274"/>
      <c r="E3" s="274"/>
      <c r="F3" s="274"/>
      <c r="G3" s="274"/>
      <c r="H3" s="274"/>
      <c r="I3" s="275"/>
      <c r="J3" s="274"/>
      <c r="K3" s="309" t="s">
        <v>170</v>
      </c>
      <c r="L3" s="310"/>
      <c r="M3" s="310"/>
      <c r="N3" s="310"/>
      <c r="O3" s="311"/>
      <c r="P3" s="274"/>
      <c r="Q3" s="274"/>
      <c r="R3" s="274"/>
      <c r="S3" s="274"/>
      <c r="T3" s="275"/>
      <c r="U3" s="275"/>
      <c r="V3" s="275"/>
      <c r="W3" s="275"/>
      <c r="X3" s="275"/>
      <c r="Y3" s="275"/>
      <c r="Z3" s="275"/>
      <c r="AA3" s="275"/>
      <c r="AB3" s="275"/>
      <c r="AC3" s="275"/>
      <c r="AD3" s="275"/>
      <c r="AE3" s="275"/>
      <c r="AF3" s="275"/>
      <c r="AG3" s="276"/>
      <c r="AJ3" s="62">
        <f>'[1]Annexure I'!E30</f>
        <v>691</v>
      </c>
      <c r="AM3" s="508" t="s">
        <v>171</v>
      </c>
      <c r="AN3" s="509"/>
      <c r="AO3" s="509"/>
      <c r="AP3" s="509"/>
      <c r="AQ3" s="509"/>
      <c r="AR3" s="509"/>
      <c r="AS3" s="509"/>
      <c r="AT3" s="509"/>
      <c r="AU3" s="276"/>
      <c r="AY3" s="62">
        <f>'[1]Annexure I'!AN30</f>
        <v>0</v>
      </c>
    </row>
    <row r="4" spans="2:47" ht="12" customHeight="1">
      <c r="B4" s="273"/>
      <c r="C4" s="274"/>
      <c r="D4" s="274"/>
      <c r="E4" s="274"/>
      <c r="F4" s="274"/>
      <c r="G4" s="274"/>
      <c r="H4" s="274"/>
      <c r="I4" s="277"/>
      <c r="J4" s="277"/>
      <c r="K4" s="277"/>
      <c r="L4" s="277"/>
      <c r="M4" s="277"/>
      <c r="N4" s="277"/>
      <c r="O4" s="277"/>
      <c r="P4" s="277"/>
      <c r="Q4" s="277"/>
      <c r="R4" s="277"/>
      <c r="S4" s="277"/>
      <c r="T4" s="275"/>
      <c r="U4" s="275"/>
      <c r="V4" s="275"/>
      <c r="W4" s="275"/>
      <c r="X4" s="275"/>
      <c r="Y4" s="275"/>
      <c r="Z4" s="275"/>
      <c r="AA4" s="275"/>
      <c r="AB4" s="275"/>
      <c r="AC4" s="275"/>
      <c r="AD4" s="275"/>
      <c r="AE4" s="275"/>
      <c r="AF4" s="275"/>
      <c r="AG4" s="276"/>
      <c r="AM4" s="508" t="s">
        <v>172</v>
      </c>
      <c r="AN4" s="509"/>
      <c r="AO4" s="509"/>
      <c r="AP4" s="509"/>
      <c r="AQ4" s="509"/>
      <c r="AR4" s="509"/>
      <c r="AS4" s="509"/>
      <c r="AT4" s="509"/>
      <c r="AU4" s="276"/>
    </row>
    <row r="5" spans="1:57" s="65" customFormat="1" ht="20.25" customHeight="1">
      <c r="A5" s="308"/>
      <c r="B5" s="278" t="s">
        <v>173</v>
      </c>
      <c r="C5" s="66" t="str">
        <f>AZ45</f>
        <v>0</v>
      </c>
      <c r="D5" s="77"/>
      <c r="E5" s="66" t="str">
        <f>BA45</f>
        <v>3</v>
      </c>
      <c r="F5" s="77"/>
      <c r="G5" s="66" t="str">
        <f>BB45</f>
        <v>0</v>
      </c>
      <c r="H5" s="77"/>
      <c r="I5" s="66" t="str">
        <f>BC45</f>
        <v>1</v>
      </c>
      <c r="J5" s="70"/>
      <c r="K5" s="70"/>
      <c r="L5" s="70"/>
      <c r="M5" s="70"/>
      <c r="N5" s="70"/>
      <c r="O5" s="67"/>
      <c r="P5" s="68"/>
      <c r="Q5" s="68"/>
      <c r="R5" s="68"/>
      <c r="S5" s="68"/>
      <c r="T5" s="68"/>
      <c r="U5" s="68"/>
      <c r="V5" s="68"/>
      <c r="W5" s="562" t="s">
        <v>174</v>
      </c>
      <c r="X5" s="562"/>
      <c r="Y5" s="562"/>
      <c r="Z5" s="562"/>
      <c r="AA5" s="562"/>
      <c r="AB5" s="562"/>
      <c r="AC5" s="562"/>
      <c r="AD5" s="562"/>
      <c r="AE5" s="562"/>
      <c r="AF5" s="562"/>
      <c r="AG5" s="563"/>
      <c r="AM5" s="278"/>
      <c r="AN5" s="70"/>
      <c r="AO5" s="70"/>
      <c r="AP5" s="70"/>
      <c r="AQ5" s="70"/>
      <c r="AR5" s="70"/>
      <c r="AS5" s="70"/>
      <c r="AT5" s="70"/>
      <c r="AU5" s="276"/>
      <c r="AV5" s="307"/>
      <c r="AW5" s="364"/>
      <c r="AX5" s="62"/>
      <c r="AY5" s="62"/>
      <c r="AZ5" s="1"/>
      <c r="BA5" s="1"/>
      <c r="BB5" s="1"/>
      <c r="BC5" s="1"/>
      <c r="BD5" s="1"/>
      <c r="BE5" s="1"/>
    </row>
    <row r="6" spans="1:57" s="65" customFormat="1" ht="19.5" customHeight="1">
      <c r="A6" s="308"/>
      <c r="B6" s="279" t="s">
        <v>175</v>
      </c>
      <c r="C6" s="542" t="str">
        <f>Data!C20</f>
        <v>DTO, Kakinada</v>
      </c>
      <c r="D6" s="542"/>
      <c r="E6" s="542"/>
      <c r="F6" s="542"/>
      <c r="G6" s="542"/>
      <c r="H6" s="542"/>
      <c r="I6" s="542"/>
      <c r="J6" s="542"/>
      <c r="K6" s="542"/>
      <c r="L6" s="542"/>
      <c r="M6" s="70"/>
      <c r="N6" s="70"/>
      <c r="O6" s="69" t="s">
        <v>176</v>
      </c>
      <c r="P6" s="70"/>
      <c r="Q6" s="70"/>
      <c r="R6" s="70"/>
      <c r="S6" s="543"/>
      <c r="T6" s="543"/>
      <c r="U6" s="543"/>
      <c r="V6" s="543"/>
      <c r="W6" s="543"/>
      <c r="X6" s="543"/>
      <c r="Y6" s="543"/>
      <c r="Z6" s="543"/>
      <c r="AA6" s="543"/>
      <c r="AB6" s="543"/>
      <c r="AC6" s="543"/>
      <c r="AD6" s="543"/>
      <c r="AE6" s="70"/>
      <c r="AF6" s="70"/>
      <c r="AG6" s="280"/>
      <c r="AM6" s="295" t="s">
        <v>177</v>
      </c>
      <c r="AN6" s="296"/>
      <c r="AO6" s="297" t="str">
        <f>Data!$C$26</f>
        <v>03010402001</v>
      </c>
      <c r="AP6" s="275"/>
      <c r="AQ6" s="275"/>
      <c r="AR6" s="298" t="str">
        <f>"Treasury / PAO Code  : "&amp;LEFT(Data!C26,4)</f>
        <v>Treasury / PAO Code  : 0301</v>
      </c>
      <c r="AS6" s="275"/>
      <c r="AT6" s="275"/>
      <c r="AU6" s="276"/>
      <c r="AV6" s="307"/>
      <c r="AW6" s="364"/>
      <c r="AX6" s="62"/>
      <c r="AY6" s="62"/>
      <c r="AZ6" s="1"/>
      <c r="BA6" s="1"/>
      <c r="BB6" s="1"/>
      <c r="BC6" s="1"/>
      <c r="BD6" s="1"/>
      <c r="BE6" s="1"/>
    </row>
    <row r="7" spans="1:57" s="65" customFormat="1" ht="6.75" customHeight="1">
      <c r="A7" s="308"/>
      <c r="B7" s="278"/>
      <c r="C7" s="70"/>
      <c r="D7" s="70"/>
      <c r="E7" s="70"/>
      <c r="F7" s="70"/>
      <c r="G7" s="70"/>
      <c r="H7" s="70"/>
      <c r="I7" s="70"/>
      <c r="J7" s="70"/>
      <c r="K7" s="70"/>
      <c r="L7" s="70"/>
      <c r="M7" s="70"/>
      <c r="N7" s="70"/>
      <c r="O7" s="72"/>
      <c r="P7" s="70"/>
      <c r="Q7" s="70"/>
      <c r="R7" s="70"/>
      <c r="S7" s="70"/>
      <c r="T7" s="70"/>
      <c r="U7" s="70"/>
      <c r="V7" s="70"/>
      <c r="W7" s="73"/>
      <c r="X7" s="73"/>
      <c r="Y7" s="73"/>
      <c r="Z7" s="73"/>
      <c r="AA7" s="73"/>
      <c r="AB7" s="73"/>
      <c r="AC7" s="73"/>
      <c r="AD7" s="73"/>
      <c r="AE7" s="70"/>
      <c r="AF7" s="70"/>
      <c r="AG7" s="280"/>
      <c r="AM7" s="278"/>
      <c r="AN7" s="70"/>
      <c r="AO7" s="70"/>
      <c r="AP7" s="70"/>
      <c r="AQ7" s="275"/>
      <c r="AR7" s="70"/>
      <c r="AS7" s="298"/>
      <c r="AT7" s="299"/>
      <c r="AU7" s="276"/>
      <c r="AV7" s="307"/>
      <c r="AW7" s="364"/>
      <c r="AX7" s="62"/>
      <c r="AY7" s="62"/>
      <c r="AZ7" s="1"/>
      <c r="BA7" s="1"/>
      <c r="BB7" s="1"/>
      <c r="BC7" s="1"/>
      <c r="BD7" s="1"/>
      <c r="BE7" s="1"/>
    </row>
    <row r="8" spans="1:57" s="65" customFormat="1" ht="24" customHeight="1">
      <c r="A8" s="308"/>
      <c r="B8" s="278" t="s">
        <v>178</v>
      </c>
      <c r="C8" s="546" t="str">
        <f>Data!$C$26</f>
        <v>03010402001</v>
      </c>
      <c r="D8" s="547"/>
      <c r="E8" s="547"/>
      <c r="F8" s="547"/>
      <c r="G8" s="547"/>
      <c r="H8" s="547"/>
      <c r="I8" s="548"/>
      <c r="J8" s="70"/>
      <c r="K8" s="70"/>
      <c r="L8" s="70"/>
      <c r="M8" s="70"/>
      <c r="N8" s="70"/>
      <c r="O8" s="69" t="s">
        <v>23</v>
      </c>
      <c r="P8" s="70"/>
      <c r="Q8" s="70"/>
      <c r="R8" s="70"/>
      <c r="S8" s="70"/>
      <c r="T8" s="71"/>
      <c r="U8" s="532"/>
      <c r="V8" s="534"/>
      <c r="W8" s="534"/>
      <c r="X8" s="534"/>
      <c r="Y8" s="534"/>
      <c r="Z8" s="534"/>
      <c r="AA8" s="534"/>
      <c r="AB8" s="534"/>
      <c r="AC8" s="534"/>
      <c r="AD8" s="533"/>
      <c r="AE8" s="70"/>
      <c r="AF8" s="70"/>
      <c r="AG8" s="280"/>
      <c r="AM8" s="300" t="s">
        <v>179</v>
      </c>
      <c r="AN8" s="298"/>
      <c r="AO8" s="301" t="str">
        <f>E10&amp;", "&amp;S10</f>
        <v>District Forest Officer, Kakinada Division, Kakinada</v>
      </c>
      <c r="AP8" s="298"/>
      <c r="AQ8" s="298"/>
      <c r="AR8" s="555" t="s">
        <v>180</v>
      </c>
      <c r="AS8" s="555"/>
      <c r="AT8" s="550" t="str">
        <f>Data!C20</f>
        <v>DTO, Kakinada</v>
      </c>
      <c r="AU8" s="551"/>
      <c r="AV8" s="307"/>
      <c r="AW8" s="364"/>
      <c r="AX8" s="62"/>
      <c r="AY8" s="62"/>
      <c r="AZ8" s="1"/>
      <c r="BA8" s="1"/>
      <c r="BB8" s="1"/>
      <c r="BC8" s="1"/>
      <c r="BD8" s="1"/>
      <c r="BE8" s="1"/>
    </row>
    <row r="9" spans="1:57" s="65" customFormat="1" ht="3.75" customHeight="1">
      <c r="A9" s="308"/>
      <c r="B9" s="278"/>
      <c r="C9" s="70"/>
      <c r="D9" s="70"/>
      <c r="E9" s="70"/>
      <c r="F9" s="70"/>
      <c r="G9" s="70"/>
      <c r="H9" s="70"/>
      <c r="I9" s="70"/>
      <c r="J9" s="70"/>
      <c r="K9" s="70"/>
      <c r="L9" s="70"/>
      <c r="M9" s="70"/>
      <c r="N9" s="70"/>
      <c r="O9" s="74"/>
      <c r="P9" s="73"/>
      <c r="Q9" s="73"/>
      <c r="R9" s="73"/>
      <c r="S9" s="73"/>
      <c r="T9" s="73"/>
      <c r="U9" s="73"/>
      <c r="V9" s="73"/>
      <c r="W9" s="73"/>
      <c r="X9" s="73"/>
      <c r="Y9" s="73"/>
      <c r="Z9" s="73"/>
      <c r="AA9" s="73"/>
      <c r="AB9" s="73"/>
      <c r="AC9" s="73"/>
      <c r="AD9" s="75"/>
      <c r="AE9" s="73"/>
      <c r="AF9" s="73"/>
      <c r="AG9" s="281"/>
      <c r="AM9" s="302"/>
      <c r="AN9" s="298"/>
      <c r="AO9" s="303"/>
      <c r="AP9" s="298"/>
      <c r="AQ9" s="298"/>
      <c r="AR9" s="298"/>
      <c r="AS9" s="298"/>
      <c r="AT9" s="298"/>
      <c r="AU9" s="276"/>
      <c r="AV9" s="307"/>
      <c r="AW9" s="364"/>
      <c r="AX9" s="62"/>
      <c r="AY9" s="62"/>
      <c r="AZ9" s="1"/>
      <c r="BA9" s="1"/>
      <c r="BB9" s="1"/>
      <c r="BC9" s="1"/>
      <c r="BD9" s="1"/>
      <c r="BE9" s="1"/>
    </row>
    <row r="10" spans="1:57" s="65" customFormat="1" ht="23.25" customHeight="1">
      <c r="A10" s="308"/>
      <c r="B10" s="279" t="s">
        <v>167</v>
      </c>
      <c r="C10" s="70"/>
      <c r="D10" s="70"/>
      <c r="E10" s="214" t="str">
        <f>Data!C22</f>
        <v>District Forest Officer</v>
      </c>
      <c r="F10" s="213"/>
      <c r="G10" s="213"/>
      <c r="H10" s="213"/>
      <c r="I10" s="213"/>
      <c r="J10" s="70"/>
      <c r="K10" s="70"/>
      <c r="L10" s="70"/>
      <c r="M10" s="554" t="s">
        <v>181</v>
      </c>
      <c r="N10" s="554"/>
      <c r="O10" s="554"/>
      <c r="P10" s="554"/>
      <c r="Q10" s="554"/>
      <c r="R10" s="554"/>
      <c r="S10" s="552" t="str">
        <f>Data!C23</f>
        <v>Kakinada Division, Kakinada</v>
      </c>
      <c r="T10" s="552"/>
      <c r="U10" s="552"/>
      <c r="V10" s="552"/>
      <c r="W10" s="552"/>
      <c r="X10" s="552"/>
      <c r="Y10" s="552"/>
      <c r="Z10" s="552"/>
      <c r="AA10" s="552"/>
      <c r="AB10" s="552"/>
      <c r="AC10" s="552"/>
      <c r="AD10" s="552"/>
      <c r="AE10" s="552"/>
      <c r="AF10" s="552"/>
      <c r="AG10" s="553"/>
      <c r="AM10" s="291" t="s">
        <v>182</v>
      </c>
      <c r="AN10" s="275"/>
      <c r="AO10" s="275"/>
      <c r="AP10" s="275"/>
      <c r="AQ10" s="275"/>
      <c r="AR10" s="275"/>
      <c r="AS10" s="275"/>
      <c r="AT10" s="275"/>
      <c r="AU10" s="276"/>
      <c r="AV10" s="307"/>
      <c r="AW10" s="364"/>
      <c r="AX10" s="62"/>
      <c r="AY10" s="62"/>
      <c r="AZ10" s="1"/>
      <c r="BA10" s="1"/>
      <c r="BB10" s="1"/>
      <c r="BC10" s="1"/>
      <c r="BD10" s="1"/>
      <c r="BE10" s="1"/>
    </row>
    <row r="11" spans="1:57" s="65" customFormat="1" ht="6.75" customHeight="1">
      <c r="A11" s="308"/>
      <c r="B11" s="278"/>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280"/>
      <c r="AM11" s="278"/>
      <c r="AN11" s="275"/>
      <c r="AO11" s="275"/>
      <c r="AP11" s="275"/>
      <c r="AQ11" s="275"/>
      <c r="AR11" s="275"/>
      <c r="AS11" s="275"/>
      <c r="AT11" s="275"/>
      <c r="AU11" s="276"/>
      <c r="AV11" s="307"/>
      <c r="AW11" s="364"/>
      <c r="AX11" s="62"/>
      <c r="AY11" s="62"/>
      <c r="AZ11" s="1"/>
      <c r="BA11" s="1"/>
      <c r="BB11" s="1"/>
      <c r="BC11" s="1"/>
      <c r="BD11" s="1"/>
      <c r="BE11" s="1"/>
    </row>
    <row r="12" spans="1:57" s="65" customFormat="1" ht="24" customHeight="1">
      <c r="A12" s="308"/>
      <c r="B12" s="278" t="s">
        <v>183</v>
      </c>
      <c r="C12" s="70"/>
      <c r="D12" s="70"/>
      <c r="E12" s="546" t="str">
        <f>Data!$C$28</f>
        <v>01425</v>
      </c>
      <c r="F12" s="547"/>
      <c r="G12" s="547"/>
      <c r="H12" s="547"/>
      <c r="I12" s="548"/>
      <c r="J12" s="70"/>
      <c r="K12" s="282" t="s">
        <v>184</v>
      </c>
      <c r="L12" s="70"/>
      <c r="M12" s="70"/>
      <c r="N12" s="70"/>
      <c r="O12" s="542" t="str">
        <f>Data!C29</f>
        <v>SBI, Try. Branch, Kakinada</v>
      </c>
      <c r="P12" s="542"/>
      <c r="Q12" s="542"/>
      <c r="R12" s="542"/>
      <c r="S12" s="542"/>
      <c r="T12" s="542"/>
      <c r="U12" s="542"/>
      <c r="V12" s="542"/>
      <c r="W12" s="542"/>
      <c r="X12" s="542"/>
      <c r="Y12" s="542"/>
      <c r="Z12" s="542"/>
      <c r="AA12" s="542"/>
      <c r="AB12" s="542"/>
      <c r="AC12" s="542"/>
      <c r="AD12" s="542"/>
      <c r="AE12" s="542"/>
      <c r="AF12" s="542"/>
      <c r="AG12" s="549"/>
      <c r="AM12" s="291" t="s">
        <v>185</v>
      </c>
      <c r="AN12" s="70"/>
      <c r="AO12" s="70"/>
      <c r="AP12" s="70"/>
      <c r="AQ12" s="275"/>
      <c r="AR12" s="275"/>
      <c r="AS12" s="275"/>
      <c r="AT12" s="275"/>
      <c r="AU12" s="276"/>
      <c r="AV12" s="307"/>
      <c r="AW12" s="364"/>
      <c r="AX12" s="62"/>
      <c r="AY12" s="62"/>
      <c r="BD12" s="1"/>
      <c r="BE12" s="1"/>
    </row>
    <row r="13" spans="1:57" s="65" customFormat="1" ht="7.5" customHeight="1">
      <c r="A13" s="308"/>
      <c r="B13" s="278"/>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280"/>
      <c r="AM13" s="278"/>
      <c r="AN13" s="70"/>
      <c r="AO13" s="70"/>
      <c r="AP13" s="70"/>
      <c r="AQ13" s="275"/>
      <c r="AR13" s="275"/>
      <c r="AS13" s="275"/>
      <c r="AT13" s="275"/>
      <c r="AU13" s="276"/>
      <c r="AV13" s="307"/>
      <c r="AW13" s="364"/>
      <c r="AX13" s="62"/>
      <c r="AY13" s="62"/>
      <c r="BD13" s="1"/>
      <c r="BE13" s="1"/>
    </row>
    <row r="14" spans="1:57" s="65" customFormat="1" ht="20.25" customHeight="1">
      <c r="A14" s="308"/>
      <c r="B14" s="278" t="s">
        <v>186</v>
      </c>
      <c r="C14" s="70"/>
      <c r="D14" s="70"/>
      <c r="E14" s="66">
        <v>8</v>
      </c>
      <c r="F14" s="77"/>
      <c r="G14" s="66">
        <v>0</v>
      </c>
      <c r="H14" s="77"/>
      <c r="I14" s="66">
        <v>1</v>
      </c>
      <c r="J14" s="77"/>
      <c r="K14" s="66">
        <v>1</v>
      </c>
      <c r="L14" s="77"/>
      <c r="M14" s="66">
        <v>0</v>
      </c>
      <c r="N14" s="77"/>
      <c r="O14" s="66">
        <v>0</v>
      </c>
      <c r="P14" s="77"/>
      <c r="Q14" s="77"/>
      <c r="R14" s="532">
        <v>1</v>
      </c>
      <c r="S14" s="533"/>
      <c r="T14" s="77"/>
      <c r="U14" s="66">
        <v>0</v>
      </c>
      <c r="V14" s="77"/>
      <c r="W14" s="66">
        <v>7</v>
      </c>
      <c r="X14" s="77"/>
      <c r="Y14" s="77"/>
      <c r="Z14" s="532">
        <v>0</v>
      </c>
      <c r="AA14" s="534"/>
      <c r="AB14" s="533"/>
      <c r="AC14" s="76"/>
      <c r="AD14" s="532">
        <v>0</v>
      </c>
      <c r="AE14" s="534"/>
      <c r="AF14" s="533"/>
      <c r="AG14" s="283"/>
      <c r="AM14" s="304" t="s">
        <v>187</v>
      </c>
      <c r="AN14" s="78" t="s">
        <v>188</v>
      </c>
      <c r="AO14" s="78"/>
      <c r="AP14" s="79"/>
      <c r="AQ14" s="275"/>
      <c r="AR14" s="275"/>
      <c r="AS14" s="275"/>
      <c r="AT14" s="275"/>
      <c r="AU14" s="276"/>
      <c r="AV14" s="307"/>
      <c r="AW14" s="364"/>
      <c r="AX14" s="62"/>
      <c r="AY14" s="62"/>
      <c r="BD14" s="1"/>
      <c r="BE14" s="1"/>
    </row>
    <row r="15" spans="1:57" s="65" customFormat="1" ht="3.75" customHeight="1">
      <c r="A15" s="308"/>
      <c r="B15" s="278"/>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280"/>
      <c r="AM15" s="278"/>
      <c r="AN15" s="70"/>
      <c r="AO15" s="70"/>
      <c r="AP15" s="70"/>
      <c r="AQ15" s="70"/>
      <c r="AR15" s="70"/>
      <c r="AS15" s="70"/>
      <c r="AT15" s="70"/>
      <c r="AU15" s="280"/>
      <c r="AV15" s="307"/>
      <c r="AW15" s="364"/>
      <c r="AX15" s="62"/>
      <c r="AY15" s="62"/>
      <c r="BD15" s="1"/>
      <c r="BE15" s="1"/>
    </row>
    <row r="16" spans="1:57" s="65" customFormat="1" ht="12" customHeight="1">
      <c r="A16" s="308"/>
      <c r="B16" s="278"/>
      <c r="C16" s="70"/>
      <c r="D16" s="70"/>
      <c r="E16" s="540" t="s">
        <v>189</v>
      </c>
      <c r="F16" s="540"/>
      <c r="G16" s="540"/>
      <c r="H16" s="540"/>
      <c r="I16" s="540"/>
      <c r="J16" s="540"/>
      <c r="K16" s="540"/>
      <c r="L16" s="70"/>
      <c r="M16" s="540" t="s">
        <v>190</v>
      </c>
      <c r="N16" s="541"/>
      <c r="O16" s="541"/>
      <c r="P16" s="70"/>
      <c r="Q16" s="70"/>
      <c r="R16" s="510" t="s">
        <v>191</v>
      </c>
      <c r="S16" s="512"/>
      <c r="T16" s="512"/>
      <c r="U16" s="512"/>
      <c r="V16" s="512"/>
      <c r="W16" s="512"/>
      <c r="X16" s="70"/>
      <c r="Y16" s="70"/>
      <c r="Z16" s="510" t="s">
        <v>192</v>
      </c>
      <c r="AA16" s="512"/>
      <c r="AB16" s="512"/>
      <c r="AC16" s="512"/>
      <c r="AD16" s="512"/>
      <c r="AE16" s="512"/>
      <c r="AF16" s="77"/>
      <c r="AG16" s="283"/>
      <c r="AM16" s="544"/>
      <c r="AN16" s="545"/>
      <c r="AO16" s="545"/>
      <c r="AP16" s="545"/>
      <c r="AQ16" s="70"/>
      <c r="AR16" s="70"/>
      <c r="AS16" s="70"/>
      <c r="AT16" s="70"/>
      <c r="AU16" s="280"/>
      <c r="AV16" s="307"/>
      <c r="AW16" s="364"/>
      <c r="AX16" s="62"/>
      <c r="AY16" s="62"/>
      <c r="BD16" s="1"/>
      <c r="BE16" s="1"/>
    </row>
    <row r="17" spans="1:57" s="65" customFormat="1" ht="5.25" customHeight="1">
      <c r="A17" s="308"/>
      <c r="B17" s="278"/>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280"/>
      <c r="AM17" s="278"/>
      <c r="AN17" s="70"/>
      <c r="AO17" s="70"/>
      <c r="AP17" s="70"/>
      <c r="AQ17" s="70"/>
      <c r="AR17" s="70"/>
      <c r="AS17" s="70"/>
      <c r="AT17" s="70"/>
      <c r="AU17" s="280"/>
      <c r="AV17" s="307"/>
      <c r="AW17" s="364"/>
      <c r="AX17" s="62"/>
      <c r="AY17" s="62"/>
      <c r="BD17" s="1"/>
      <c r="BE17" s="1"/>
    </row>
    <row r="18" spans="1:57" s="65" customFormat="1" ht="21.75" customHeight="1">
      <c r="A18" s="308"/>
      <c r="B18" s="278"/>
      <c r="C18" s="70"/>
      <c r="D18" s="70"/>
      <c r="E18" s="70"/>
      <c r="F18" s="70"/>
      <c r="G18" s="66">
        <v>0</v>
      </c>
      <c r="H18" s="77"/>
      <c r="I18" s="66">
        <v>1</v>
      </c>
      <c r="J18" s="77"/>
      <c r="K18" s="77"/>
      <c r="L18" s="77"/>
      <c r="M18" s="66">
        <v>0</v>
      </c>
      <c r="N18" s="77"/>
      <c r="O18" s="66">
        <v>0</v>
      </c>
      <c r="P18" s="77"/>
      <c r="Q18" s="532">
        <v>0</v>
      </c>
      <c r="R18" s="533"/>
      <c r="S18" s="77"/>
      <c r="T18" s="77"/>
      <c r="U18" s="77"/>
      <c r="V18" s="77"/>
      <c r="W18" s="66">
        <v>0</v>
      </c>
      <c r="X18" s="77"/>
      <c r="Y18" s="532">
        <v>0</v>
      </c>
      <c r="Z18" s="533"/>
      <c r="AA18" s="77"/>
      <c r="AB18" s="532">
        <v>3</v>
      </c>
      <c r="AC18" s="534"/>
      <c r="AD18" s="533"/>
      <c r="AE18" s="70"/>
      <c r="AF18" s="70"/>
      <c r="AG18" s="280"/>
      <c r="AM18" s="291"/>
      <c r="AN18" s="275"/>
      <c r="AO18" s="509" t="s">
        <v>193</v>
      </c>
      <c r="AP18" s="509"/>
      <c r="AQ18" s="80"/>
      <c r="AR18" s="277" t="s">
        <v>194</v>
      </c>
      <c r="AS18" s="81"/>
      <c r="AT18" s="288" t="s">
        <v>195</v>
      </c>
      <c r="AU18" s="343">
        <f>Y25</f>
        <v>4815</v>
      </c>
      <c r="AV18" s="307"/>
      <c r="AW18" s="364"/>
      <c r="AX18" s="62"/>
      <c r="AY18" s="62"/>
      <c r="BD18" s="1"/>
      <c r="BE18" s="1"/>
    </row>
    <row r="19" spans="1:57" s="65" customFormat="1" ht="3.75" customHeight="1">
      <c r="A19" s="308"/>
      <c r="B19" s="278"/>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280"/>
      <c r="AM19" s="291"/>
      <c r="AN19" s="275"/>
      <c r="AO19" s="275"/>
      <c r="AP19" s="275"/>
      <c r="AQ19" s="275"/>
      <c r="AR19" s="275"/>
      <c r="AS19" s="275"/>
      <c r="AT19" s="275"/>
      <c r="AU19" s="276"/>
      <c r="AV19" s="307"/>
      <c r="AW19" s="364"/>
      <c r="AX19" s="62"/>
      <c r="AY19" s="62"/>
      <c r="BD19" s="1"/>
      <c r="BE19" s="1"/>
    </row>
    <row r="20" spans="1:57" s="65" customFormat="1" ht="12" customHeight="1">
      <c r="A20" s="308"/>
      <c r="B20" s="278"/>
      <c r="C20" s="70"/>
      <c r="D20" s="70"/>
      <c r="E20" s="70"/>
      <c r="F20" s="70"/>
      <c r="G20" s="510" t="s">
        <v>196</v>
      </c>
      <c r="H20" s="512"/>
      <c r="I20" s="512"/>
      <c r="J20" s="70"/>
      <c r="K20" s="70"/>
      <c r="L20" s="70"/>
      <c r="M20" s="510" t="s">
        <v>197</v>
      </c>
      <c r="N20" s="512"/>
      <c r="O20" s="512"/>
      <c r="P20" s="512"/>
      <c r="Q20" s="512"/>
      <c r="R20" s="512"/>
      <c r="S20" s="70"/>
      <c r="T20" s="70"/>
      <c r="U20" s="70"/>
      <c r="V20" s="70"/>
      <c r="W20" s="510" t="s">
        <v>198</v>
      </c>
      <c r="X20" s="512"/>
      <c r="Y20" s="512"/>
      <c r="Z20" s="512"/>
      <c r="AA20" s="512"/>
      <c r="AB20" s="512"/>
      <c r="AC20" s="512"/>
      <c r="AD20" s="512"/>
      <c r="AE20" s="70"/>
      <c r="AF20" s="70"/>
      <c r="AG20" s="280"/>
      <c r="AM20" s="500" t="str">
        <f>B27</f>
        <v>(Net Rupees Four thousand Eight hundred Fifteen only)</v>
      </c>
      <c r="AN20" s="535"/>
      <c r="AO20" s="535"/>
      <c r="AP20" s="535"/>
      <c r="AQ20" s="535"/>
      <c r="AR20" s="535"/>
      <c r="AS20" s="535"/>
      <c r="AT20" s="535"/>
      <c r="AU20" s="536"/>
      <c r="AV20" s="307"/>
      <c r="AW20" s="364"/>
      <c r="AX20" s="62"/>
      <c r="AY20" s="62"/>
      <c r="BD20" s="1"/>
      <c r="BE20" s="1"/>
    </row>
    <row r="21" spans="1:57" s="65" customFormat="1" ht="5.25" customHeight="1">
      <c r="A21" s="308"/>
      <c r="B21" s="278"/>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280"/>
      <c r="AM21" s="500"/>
      <c r="AN21" s="535"/>
      <c r="AO21" s="535"/>
      <c r="AP21" s="535"/>
      <c r="AQ21" s="535"/>
      <c r="AR21" s="535"/>
      <c r="AS21" s="535"/>
      <c r="AT21" s="535"/>
      <c r="AU21" s="536"/>
      <c r="AV21" s="307"/>
      <c r="AW21" s="364"/>
      <c r="AX21" s="62"/>
      <c r="AY21" s="62"/>
      <c r="BD21" s="1"/>
      <c r="BE21" s="1"/>
    </row>
    <row r="22" spans="1:57" s="65" customFormat="1" ht="12" customHeight="1">
      <c r="A22" s="308"/>
      <c r="B22" s="284" t="s">
        <v>199</v>
      </c>
      <c r="C22" s="522" t="s">
        <v>31</v>
      </c>
      <c r="D22" s="70"/>
      <c r="E22" s="285" t="s">
        <v>200</v>
      </c>
      <c r="F22" s="70"/>
      <c r="G22" s="70"/>
      <c r="H22" s="70"/>
      <c r="I22" s="70"/>
      <c r="J22" s="70"/>
      <c r="K22" s="522" t="s">
        <v>33</v>
      </c>
      <c r="L22" s="70"/>
      <c r="M22" s="286" t="s">
        <v>201</v>
      </c>
      <c r="N22" s="70"/>
      <c r="O22" s="70"/>
      <c r="P22" s="70"/>
      <c r="Q22" s="70"/>
      <c r="R22" s="70"/>
      <c r="S22" s="70"/>
      <c r="T22" s="70"/>
      <c r="U22" s="70"/>
      <c r="V22" s="70"/>
      <c r="W22" s="522">
        <v>8</v>
      </c>
      <c r="X22" s="70"/>
      <c r="Y22" s="524">
        <v>0</v>
      </c>
      <c r="Z22" s="525"/>
      <c r="AA22" s="70"/>
      <c r="AB22" s="524">
        <v>1</v>
      </c>
      <c r="AC22" s="528"/>
      <c r="AD22" s="525"/>
      <c r="AE22" s="70"/>
      <c r="AF22" s="524">
        <v>1</v>
      </c>
      <c r="AG22" s="530"/>
      <c r="AH22" s="70"/>
      <c r="AM22" s="537"/>
      <c r="AN22" s="538"/>
      <c r="AO22" s="538"/>
      <c r="AP22" s="538"/>
      <c r="AQ22" s="538"/>
      <c r="AR22" s="538"/>
      <c r="AS22" s="538"/>
      <c r="AT22" s="538"/>
      <c r="AU22" s="539"/>
      <c r="AV22" s="307"/>
      <c r="AW22" s="364"/>
      <c r="AX22" s="62"/>
      <c r="AY22" s="62"/>
      <c r="BD22" s="1"/>
      <c r="BE22" s="1"/>
    </row>
    <row r="23" spans="1:57" s="65" customFormat="1" ht="14.25" customHeight="1">
      <c r="A23" s="308"/>
      <c r="B23" s="284" t="s">
        <v>202</v>
      </c>
      <c r="C23" s="523"/>
      <c r="D23" s="70"/>
      <c r="E23" s="285" t="s">
        <v>203</v>
      </c>
      <c r="F23" s="70"/>
      <c r="G23" s="70"/>
      <c r="H23" s="70"/>
      <c r="I23" s="70"/>
      <c r="J23" s="70"/>
      <c r="K23" s="523"/>
      <c r="L23" s="70"/>
      <c r="M23" s="286" t="s">
        <v>204</v>
      </c>
      <c r="N23" s="70"/>
      <c r="O23" s="70"/>
      <c r="P23" s="70"/>
      <c r="Q23" s="70"/>
      <c r="R23" s="70"/>
      <c r="S23" s="70"/>
      <c r="T23" s="70"/>
      <c r="U23" s="70"/>
      <c r="V23" s="70"/>
      <c r="W23" s="523"/>
      <c r="X23" s="70"/>
      <c r="Y23" s="526"/>
      <c r="Z23" s="527"/>
      <c r="AA23" s="70"/>
      <c r="AB23" s="526"/>
      <c r="AC23" s="529"/>
      <c r="AD23" s="527"/>
      <c r="AE23" s="70"/>
      <c r="AF23" s="526"/>
      <c r="AG23" s="531"/>
      <c r="AH23" s="70"/>
      <c r="AM23" s="305" t="s">
        <v>205</v>
      </c>
      <c r="AN23" s="79"/>
      <c r="AO23" s="515"/>
      <c r="AP23" s="515"/>
      <c r="AQ23" s="515"/>
      <c r="AR23" s="515"/>
      <c r="AS23" s="515"/>
      <c r="AT23" s="306" t="s">
        <v>206</v>
      </c>
      <c r="AU23" s="276"/>
      <c r="AV23" s="307"/>
      <c r="AW23" s="364"/>
      <c r="AX23" s="62"/>
      <c r="AY23" s="62"/>
      <c r="BD23" s="1"/>
      <c r="BE23" s="1"/>
    </row>
    <row r="24" spans="1:57" s="65" customFormat="1" ht="15" customHeight="1">
      <c r="A24" s="308"/>
      <c r="B24" s="278"/>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280"/>
      <c r="AM24" s="516" t="str">
        <f>Data!C23</f>
        <v>Kakinada Division, Kakinada</v>
      </c>
      <c r="AN24" s="517"/>
      <c r="AO24" s="518"/>
      <c r="AP24" s="518"/>
      <c r="AQ24" s="518"/>
      <c r="AR24" s="275" t="s">
        <v>207</v>
      </c>
      <c r="AS24" s="275"/>
      <c r="AT24" s="275"/>
      <c r="AU24" s="276"/>
      <c r="AV24" s="307"/>
      <c r="AW24" s="364"/>
      <c r="AX24" s="62"/>
      <c r="AY24" s="62"/>
      <c r="BD24" s="1"/>
      <c r="BE24" s="1"/>
    </row>
    <row r="25" spans="1:57" s="65" customFormat="1" ht="15" customHeight="1">
      <c r="A25" s="308"/>
      <c r="B25" s="287" t="s">
        <v>208</v>
      </c>
      <c r="C25" s="519">
        <f>'Calculation sheet'!G26</f>
        <v>4815</v>
      </c>
      <c r="D25" s="519"/>
      <c r="E25" s="519"/>
      <c r="F25" s="519"/>
      <c r="G25" s="519"/>
      <c r="H25" s="70"/>
      <c r="I25" s="520" t="s">
        <v>209</v>
      </c>
      <c r="J25" s="520"/>
      <c r="K25" s="520"/>
      <c r="L25" s="520"/>
      <c r="M25" s="520"/>
      <c r="N25" s="70"/>
      <c r="O25" s="519">
        <v>0</v>
      </c>
      <c r="P25" s="519"/>
      <c r="Q25" s="519"/>
      <c r="R25" s="519"/>
      <c r="S25" s="519"/>
      <c r="T25" s="70"/>
      <c r="U25" s="520" t="s">
        <v>210</v>
      </c>
      <c r="V25" s="520"/>
      <c r="W25" s="520"/>
      <c r="X25" s="70"/>
      <c r="Y25" s="519">
        <f>C25</f>
        <v>4815</v>
      </c>
      <c r="Z25" s="519"/>
      <c r="AA25" s="519"/>
      <c r="AB25" s="519"/>
      <c r="AC25" s="519"/>
      <c r="AD25" s="519"/>
      <c r="AE25" s="519"/>
      <c r="AF25" s="519"/>
      <c r="AG25" s="521"/>
      <c r="AM25" s="278" t="s">
        <v>211</v>
      </c>
      <c r="AN25" s="275"/>
      <c r="AO25" s="275"/>
      <c r="AP25" s="275"/>
      <c r="AQ25" s="275"/>
      <c r="AR25" s="275"/>
      <c r="AS25" s="70"/>
      <c r="AT25" s="275"/>
      <c r="AU25" s="276"/>
      <c r="AV25" s="307"/>
      <c r="AW25" s="364"/>
      <c r="AX25" s="62"/>
      <c r="AY25" s="62"/>
      <c r="BD25" s="1"/>
      <c r="BE25" s="1"/>
    </row>
    <row r="26" spans="1:57" s="65" customFormat="1" ht="12" customHeight="1">
      <c r="A26" s="308"/>
      <c r="B26" s="287"/>
      <c r="C26" s="82"/>
      <c r="D26" s="82"/>
      <c r="E26" s="82"/>
      <c r="F26" s="82"/>
      <c r="G26" s="82"/>
      <c r="H26" s="70"/>
      <c r="I26" s="288"/>
      <c r="J26" s="288"/>
      <c r="K26" s="288"/>
      <c r="L26" s="288"/>
      <c r="M26" s="288"/>
      <c r="N26" s="70"/>
      <c r="O26" s="82"/>
      <c r="P26" s="82"/>
      <c r="Q26" s="82"/>
      <c r="R26" s="82"/>
      <c r="S26" s="82"/>
      <c r="T26" s="70"/>
      <c r="U26" s="288"/>
      <c r="V26" s="288"/>
      <c r="W26" s="288"/>
      <c r="X26" s="70"/>
      <c r="Y26" s="82"/>
      <c r="Z26" s="82"/>
      <c r="AA26" s="82"/>
      <c r="AB26" s="82"/>
      <c r="AC26" s="82"/>
      <c r="AD26" s="82"/>
      <c r="AE26" s="82"/>
      <c r="AF26" s="82"/>
      <c r="AG26" s="289"/>
      <c r="AM26" s="278"/>
      <c r="AN26" s="275"/>
      <c r="AO26" s="275"/>
      <c r="AP26" s="275"/>
      <c r="AQ26" s="275"/>
      <c r="AR26" s="275"/>
      <c r="AS26" s="70"/>
      <c r="AT26" s="275"/>
      <c r="AU26" s="276"/>
      <c r="AV26" s="307"/>
      <c r="AW26" s="364"/>
      <c r="AX26" s="62"/>
      <c r="AY26" s="62"/>
      <c r="BD26" s="1"/>
      <c r="BE26" s="1"/>
    </row>
    <row r="27" spans="1:57" s="65" customFormat="1" ht="12" customHeight="1">
      <c r="A27" s="308"/>
      <c r="B27" s="500" t="str">
        <f>"(Net Rupees "&amp;B116&amp;")"</f>
        <v>(Net Rupees Four thousand Eight hundred Fifteen only)</v>
      </c>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2"/>
      <c r="AM27" s="278"/>
      <c r="AN27" s="275"/>
      <c r="AO27" s="275"/>
      <c r="AP27" s="275"/>
      <c r="AQ27" s="275"/>
      <c r="AR27" s="275"/>
      <c r="AS27" s="70"/>
      <c r="AT27" s="275"/>
      <c r="AU27" s="276"/>
      <c r="AV27" s="307"/>
      <c r="AW27" s="364"/>
      <c r="AX27" s="62"/>
      <c r="AY27" s="62"/>
      <c r="BD27" s="1"/>
      <c r="BE27" s="1"/>
    </row>
    <row r="28" spans="1:57" s="65" customFormat="1" ht="17.25" customHeight="1">
      <c r="A28" s="308"/>
      <c r="B28" s="503"/>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5"/>
      <c r="AM28" s="291" t="s">
        <v>212</v>
      </c>
      <c r="AN28" s="275"/>
      <c r="AO28" s="275"/>
      <c r="AP28" s="275"/>
      <c r="AQ28" s="275"/>
      <c r="AR28" s="275"/>
      <c r="AS28" s="275" t="s">
        <v>213</v>
      </c>
      <c r="AT28" s="275"/>
      <c r="AU28" s="276"/>
      <c r="AV28" s="307"/>
      <c r="AW28" s="364"/>
      <c r="AX28" s="62"/>
      <c r="AY28" s="62"/>
      <c r="BD28" s="1"/>
      <c r="BE28" s="1"/>
    </row>
    <row r="29" spans="1:57" s="65" customFormat="1" ht="18" customHeight="1">
      <c r="A29" s="308"/>
      <c r="B29" s="279" t="s">
        <v>214</v>
      </c>
      <c r="C29" s="70"/>
      <c r="D29" s="70"/>
      <c r="E29" s="513"/>
      <c r="F29" s="514"/>
      <c r="G29" s="514"/>
      <c r="H29" s="514"/>
      <c r="I29" s="514"/>
      <c r="J29" s="514"/>
      <c r="K29" s="514"/>
      <c r="L29" s="514"/>
      <c r="M29" s="514"/>
      <c r="N29" s="70"/>
      <c r="O29" s="290" t="s">
        <v>215</v>
      </c>
      <c r="P29" s="70"/>
      <c r="Q29" s="70"/>
      <c r="R29" s="70"/>
      <c r="S29" s="70"/>
      <c r="T29" s="70"/>
      <c r="U29" s="506"/>
      <c r="V29" s="506"/>
      <c r="W29" s="506"/>
      <c r="X29" s="506"/>
      <c r="Y29" s="506"/>
      <c r="Z29" s="506"/>
      <c r="AA29" s="506"/>
      <c r="AB29" s="506"/>
      <c r="AC29" s="506"/>
      <c r="AD29" s="506"/>
      <c r="AE29" s="506"/>
      <c r="AF29" s="506"/>
      <c r="AG29" s="507"/>
      <c r="AM29" s="291" t="s">
        <v>216</v>
      </c>
      <c r="AN29" s="275"/>
      <c r="AO29" s="275"/>
      <c r="AP29" s="275"/>
      <c r="AQ29" s="275"/>
      <c r="AR29" s="275"/>
      <c r="AS29" s="275" t="s">
        <v>216</v>
      </c>
      <c r="AT29" s="275"/>
      <c r="AU29" s="276"/>
      <c r="AV29" s="307"/>
      <c r="AW29" s="364"/>
      <c r="AX29" s="62"/>
      <c r="AY29" s="62"/>
      <c r="AZ29" s="1"/>
      <c r="BA29" s="1"/>
      <c r="BB29" s="1"/>
      <c r="BC29" s="1"/>
      <c r="BD29" s="1"/>
      <c r="BE29" s="1"/>
    </row>
    <row r="30" spans="1:57" s="65" customFormat="1" ht="15" customHeight="1">
      <c r="A30" s="308"/>
      <c r="B30" s="278" t="s">
        <v>217</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280"/>
      <c r="AM30" s="291"/>
      <c r="AN30" s="275"/>
      <c r="AO30" s="275"/>
      <c r="AP30" s="275"/>
      <c r="AQ30" s="275"/>
      <c r="AR30" s="275"/>
      <c r="AS30" s="275"/>
      <c r="AT30" s="275"/>
      <c r="AU30" s="276"/>
      <c r="AV30" s="307"/>
      <c r="AW30" s="364"/>
      <c r="AX30" s="62"/>
      <c r="AY30" s="62"/>
      <c r="AZ30" s="1"/>
      <c r="BA30" s="1"/>
      <c r="BB30" s="1"/>
      <c r="BC30" s="1"/>
      <c r="BD30" s="1"/>
      <c r="BE30" s="1"/>
    </row>
    <row r="31" spans="1:57" s="65" customFormat="1" ht="20.25" customHeight="1">
      <c r="A31" s="308"/>
      <c r="B31" s="278"/>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280"/>
      <c r="AM31" s="291"/>
      <c r="AN31" s="275"/>
      <c r="AO31" s="275"/>
      <c r="AP31" s="275"/>
      <c r="AQ31" s="275"/>
      <c r="AR31" s="275"/>
      <c r="AS31" s="275"/>
      <c r="AT31" s="275"/>
      <c r="AU31" s="276"/>
      <c r="AV31" s="307"/>
      <c r="AW31" s="364"/>
      <c r="AX31" s="62"/>
      <c r="AY31" s="62"/>
      <c r="AZ31" s="1"/>
      <c r="BA31" s="1"/>
      <c r="BB31" s="1"/>
      <c r="BC31" s="1"/>
      <c r="BD31" s="1"/>
      <c r="BE31" s="1"/>
    </row>
    <row r="32" spans="1:57" s="65" customFormat="1" ht="13.5" customHeight="1">
      <c r="A32" s="308"/>
      <c r="B32" s="278"/>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280"/>
      <c r="AM32" s="508" t="s">
        <v>218</v>
      </c>
      <c r="AN32" s="509"/>
      <c r="AO32" s="275"/>
      <c r="AP32" s="275"/>
      <c r="AQ32" s="275"/>
      <c r="AR32" s="275"/>
      <c r="AS32" s="275"/>
      <c r="AT32" s="275"/>
      <c r="AU32" s="276"/>
      <c r="AV32" s="307"/>
      <c r="AW32" s="364"/>
      <c r="AX32" s="62"/>
      <c r="AY32" s="62"/>
      <c r="AZ32" s="1"/>
      <c r="BA32" s="1"/>
      <c r="BB32" s="1"/>
      <c r="BC32" s="1"/>
      <c r="BD32" s="1"/>
      <c r="BE32" s="1"/>
    </row>
    <row r="33" spans="1:57" s="65" customFormat="1" ht="20.25" customHeight="1">
      <c r="A33" s="308"/>
      <c r="B33" s="278" t="s">
        <v>219</v>
      </c>
      <c r="C33" s="70"/>
      <c r="D33" s="70"/>
      <c r="E33" s="70"/>
      <c r="F33" s="70"/>
      <c r="G33" s="286" t="s">
        <v>220</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280"/>
      <c r="AM33" s="291"/>
      <c r="AN33" s="275"/>
      <c r="AO33" s="275"/>
      <c r="AP33" s="275"/>
      <c r="AQ33" s="275"/>
      <c r="AR33" s="275"/>
      <c r="AS33" s="275"/>
      <c r="AT33" s="275"/>
      <c r="AU33" s="276"/>
      <c r="AV33" s="307"/>
      <c r="AW33" s="364"/>
      <c r="AX33" s="62"/>
      <c r="AY33" s="62"/>
      <c r="AZ33" s="1"/>
      <c r="BA33" s="83"/>
      <c r="BB33" s="1"/>
      <c r="BC33" s="1"/>
      <c r="BD33" s="1"/>
      <c r="BE33" s="1"/>
    </row>
    <row r="34" spans="1:57" s="65" customFormat="1" ht="20.25" customHeight="1">
      <c r="A34" s="308"/>
      <c r="B34" s="278" t="s">
        <v>221</v>
      </c>
      <c r="C34" s="70"/>
      <c r="D34" s="70"/>
      <c r="E34" s="70"/>
      <c r="F34" s="70"/>
      <c r="G34" s="286" t="s">
        <v>222</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280"/>
      <c r="AM34" s="291"/>
      <c r="AN34" s="275"/>
      <c r="AO34" s="275"/>
      <c r="AP34" s="275"/>
      <c r="AQ34" s="275"/>
      <c r="AR34" s="275"/>
      <c r="AS34" s="275"/>
      <c r="AT34" s="275"/>
      <c r="AU34" s="276"/>
      <c r="AV34" s="307"/>
      <c r="AW34" s="364"/>
      <c r="AX34" s="62"/>
      <c r="AY34" s="62"/>
      <c r="AZ34" s="1"/>
      <c r="BA34" s="83"/>
      <c r="BB34" s="1"/>
      <c r="BC34" s="1"/>
      <c r="BD34" s="1"/>
      <c r="BE34" s="1"/>
    </row>
    <row r="35" spans="1:57" s="65" customFormat="1" ht="11.25" customHeight="1" hidden="1">
      <c r="A35" s="308"/>
      <c r="B35" s="278"/>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280"/>
      <c r="AM35" s="291"/>
      <c r="AN35" s="275"/>
      <c r="AO35" s="275"/>
      <c r="AP35" s="275"/>
      <c r="AQ35" s="275"/>
      <c r="AR35" s="275"/>
      <c r="AS35" s="275"/>
      <c r="AT35" s="275"/>
      <c r="AU35" s="276"/>
      <c r="AV35" s="307"/>
      <c r="AW35" s="364"/>
      <c r="AX35" s="62"/>
      <c r="AY35" s="62"/>
      <c r="AZ35" s="1"/>
      <c r="BA35" s="1"/>
      <c r="BB35" s="1"/>
      <c r="BC35" s="1"/>
      <c r="BD35" s="1"/>
      <c r="BE35" s="1"/>
    </row>
    <row r="36" spans="1:57" s="65" customFormat="1" ht="11.25" customHeight="1">
      <c r="A36" s="308"/>
      <c r="B36" s="278"/>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280"/>
      <c r="AM36" s="291" t="s">
        <v>223</v>
      </c>
      <c r="AN36" s="275"/>
      <c r="AO36" s="275"/>
      <c r="AP36" s="275"/>
      <c r="AQ36" s="275"/>
      <c r="AR36" s="275"/>
      <c r="AS36" s="275" t="s">
        <v>212</v>
      </c>
      <c r="AT36" s="275"/>
      <c r="AU36" s="276"/>
      <c r="AV36" s="307"/>
      <c r="AW36" s="364"/>
      <c r="AX36" s="62"/>
      <c r="AY36" s="62"/>
      <c r="AZ36" s="1"/>
      <c r="BA36" s="1"/>
      <c r="BB36" s="1"/>
      <c r="BC36" s="1"/>
      <c r="BD36" s="1"/>
      <c r="BE36" s="1"/>
    </row>
    <row r="37" spans="1:57" s="65" customFormat="1" ht="11.25" customHeight="1">
      <c r="A37" s="308"/>
      <c r="B37" s="278"/>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280"/>
      <c r="AM37" s="291"/>
      <c r="AN37" s="275"/>
      <c r="AO37" s="275"/>
      <c r="AP37" s="275"/>
      <c r="AQ37" s="275"/>
      <c r="AR37" s="275"/>
      <c r="AS37" s="275" t="s">
        <v>224</v>
      </c>
      <c r="AT37" s="275"/>
      <c r="AU37" s="276"/>
      <c r="AV37" s="307"/>
      <c r="AW37" s="364"/>
      <c r="AX37" s="62"/>
      <c r="AY37" s="62"/>
      <c r="AZ37" s="1"/>
      <c r="BA37" s="1"/>
      <c r="BB37" s="1"/>
      <c r="BC37" s="1"/>
      <c r="BD37" s="1"/>
      <c r="BE37" s="1"/>
    </row>
    <row r="38" spans="1:57" s="65" customFormat="1" ht="20.25" customHeight="1">
      <c r="A38" s="308"/>
      <c r="B38" s="278" t="s">
        <v>225</v>
      </c>
      <c r="C38" s="70"/>
      <c r="D38" s="70"/>
      <c r="E38" s="70"/>
      <c r="F38" s="70"/>
      <c r="G38" s="70"/>
      <c r="H38" s="70"/>
      <c r="I38" s="510" t="s">
        <v>218</v>
      </c>
      <c r="J38" s="510"/>
      <c r="K38" s="510"/>
      <c r="L38" s="510"/>
      <c r="M38" s="510"/>
      <c r="N38" s="510"/>
      <c r="O38" s="510"/>
      <c r="P38" s="70"/>
      <c r="Q38" s="70"/>
      <c r="R38" s="70"/>
      <c r="S38" s="70"/>
      <c r="T38" s="70"/>
      <c r="U38" s="70"/>
      <c r="V38" s="70"/>
      <c r="W38" s="510" t="s">
        <v>226</v>
      </c>
      <c r="X38" s="510"/>
      <c r="Y38" s="510"/>
      <c r="Z38" s="510"/>
      <c r="AA38" s="510"/>
      <c r="AB38" s="510"/>
      <c r="AC38" s="510"/>
      <c r="AD38" s="510"/>
      <c r="AE38" s="510"/>
      <c r="AF38" s="510"/>
      <c r="AG38" s="511"/>
      <c r="AM38" s="278"/>
      <c r="AN38" s="70"/>
      <c r="AO38" s="70"/>
      <c r="AP38" s="70"/>
      <c r="AQ38" s="70"/>
      <c r="AR38" s="70"/>
      <c r="AS38" s="70"/>
      <c r="AT38" s="70"/>
      <c r="AU38" s="280"/>
      <c r="AV38" s="308"/>
      <c r="AW38" s="365"/>
      <c r="AZ38" s="1"/>
      <c r="BA38" s="1"/>
      <c r="BB38" s="1"/>
      <c r="BC38" s="1"/>
      <c r="BD38" s="1"/>
      <c r="BE38" s="1"/>
    </row>
    <row r="39" spans="2:47" ht="12.75">
      <c r="B39" s="291"/>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6"/>
      <c r="AM39" s="291"/>
      <c r="AN39" s="275"/>
      <c r="AO39" s="275"/>
      <c r="AP39" s="275"/>
      <c r="AQ39" s="275"/>
      <c r="AR39" s="275"/>
      <c r="AS39" s="275"/>
      <c r="AT39" s="275"/>
      <c r="AU39" s="276"/>
    </row>
    <row r="40" spans="2:47" ht="12.75">
      <c r="B40" s="291"/>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6"/>
      <c r="AM40" s="291"/>
      <c r="AN40" s="275"/>
      <c r="AO40" s="275"/>
      <c r="AP40" s="275"/>
      <c r="AQ40" s="275"/>
      <c r="AR40" s="275"/>
      <c r="AS40" s="275"/>
      <c r="AT40" s="275"/>
      <c r="AU40" s="276"/>
    </row>
    <row r="41" spans="2:47" ht="12.75">
      <c r="B41" s="291"/>
      <c r="C41" s="275"/>
      <c r="D41" s="275"/>
      <c r="E41" s="275"/>
      <c r="F41" s="275"/>
      <c r="G41" s="512" t="s">
        <v>225</v>
      </c>
      <c r="H41" s="512"/>
      <c r="I41" s="512"/>
      <c r="J41" s="512"/>
      <c r="K41" s="512"/>
      <c r="L41" s="512"/>
      <c r="M41" s="512"/>
      <c r="N41" s="512"/>
      <c r="O41" s="512"/>
      <c r="P41" s="512"/>
      <c r="Q41" s="512"/>
      <c r="R41" s="512"/>
      <c r="S41" s="275"/>
      <c r="T41" s="275"/>
      <c r="U41" s="275"/>
      <c r="V41" s="275"/>
      <c r="W41" s="275"/>
      <c r="X41" s="275"/>
      <c r="Y41" s="275"/>
      <c r="Z41" s="275"/>
      <c r="AA41" s="275"/>
      <c r="AB41" s="275"/>
      <c r="AC41" s="275"/>
      <c r="AD41" s="275"/>
      <c r="AE41" s="275"/>
      <c r="AF41" s="275"/>
      <c r="AG41" s="276"/>
      <c r="AM41" s="291"/>
      <c r="AN41" s="275"/>
      <c r="AO41" s="275"/>
      <c r="AP41" s="275"/>
      <c r="AQ41" s="275"/>
      <c r="AR41" s="275"/>
      <c r="AS41" s="275"/>
      <c r="AT41" s="275"/>
      <c r="AU41" s="276"/>
    </row>
    <row r="42" spans="2:47" ht="12.75">
      <c r="B42" s="291"/>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6"/>
      <c r="AM42" s="291"/>
      <c r="AN42" s="275"/>
      <c r="AO42" s="275"/>
      <c r="AP42" s="275"/>
      <c r="AQ42" s="275"/>
      <c r="AR42" s="275"/>
      <c r="AS42" s="275"/>
      <c r="AT42" s="275"/>
      <c r="AU42" s="276"/>
    </row>
    <row r="43" spans="2:53" ht="12.75">
      <c r="B43" s="291"/>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6"/>
      <c r="AM43" s="291"/>
      <c r="AN43" s="275"/>
      <c r="AO43" s="275"/>
      <c r="AP43" s="275"/>
      <c r="AQ43" s="275"/>
      <c r="AR43" s="275"/>
      <c r="AS43" s="275"/>
      <c r="AT43" s="275"/>
      <c r="AU43" s="276"/>
      <c r="BA43" s="60" t="str">
        <f>Data!$C$26</f>
        <v>03010402001</v>
      </c>
    </row>
    <row r="44" spans="2:52" ht="12.75">
      <c r="B44" s="291"/>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6"/>
      <c r="AM44" s="291"/>
      <c r="AN44" s="275"/>
      <c r="AO44" s="275"/>
      <c r="AP44" s="275"/>
      <c r="AQ44" s="275"/>
      <c r="AR44" s="275"/>
      <c r="AS44" s="275"/>
      <c r="AT44" s="275"/>
      <c r="AU44" s="276"/>
      <c r="AZ44" s="1" t="str">
        <f>LEFT(BA43,4)</f>
        <v>0301</v>
      </c>
    </row>
    <row r="45" spans="2:55" ht="13.5" thickBot="1">
      <c r="B45" s="292"/>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4"/>
      <c r="AM45" s="292"/>
      <c r="AN45" s="293"/>
      <c r="AO45" s="293"/>
      <c r="AP45" s="293"/>
      <c r="AQ45" s="293"/>
      <c r="AR45" s="293"/>
      <c r="AS45" s="293"/>
      <c r="AT45" s="293"/>
      <c r="AU45" s="294"/>
      <c r="AZ45" s="1" t="str">
        <f>LEFT(AZ44,1)</f>
        <v>0</v>
      </c>
      <c r="BA45" s="1" t="str">
        <f>RIGHT(LEFT(AZ44,2),1)</f>
        <v>3</v>
      </c>
      <c r="BB45" s="1" t="str">
        <f>LEFT(RIGHT(AZ44,2),1)</f>
        <v>0</v>
      </c>
      <c r="BC45" s="1" t="str">
        <f>RIGHT(RIGHT(AZ44,2),1)</f>
        <v>1</v>
      </c>
    </row>
    <row r="46" spans="49:57" s="307" customFormat="1" ht="27" customHeight="1">
      <c r="AW46" s="364"/>
      <c r="AZ46" s="262"/>
      <c r="BA46" s="262">
        <v>2406010010003010</v>
      </c>
      <c r="BB46" s="262"/>
      <c r="BC46" s="262"/>
      <c r="BD46" s="262"/>
      <c r="BE46" s="262"/>
    </row>
    <row r="47" ht="12.75" hidden="1"/>
    <row r="48" ht="12.75" hidden="1">
      <c r="BA48" s="1" t="str">
        <f>LEFT(BA46,9)</f>
        <v>240601001</v>
      </c>
    </row>
    <row r="49" ht="12.75" hidden="1"/>
    <row r="50" spans="52:54" ht="12.75" hidden="1">
      <c r="AZ50" s="1" t="str">
        <f>RIGHT(BA48,3)</f>
        <v>001</v>
      </c>
      <c r="BA50" s="1" t="str">
        <f>RIGHT(BA48,3)</f>
        <v>001</v>
      </c>
      <c r="BB50" s="1" t="str">
        <f>RIGHT(BA48,3)</f>
        <v>001</v>
      </c>
    </row>
    <row r="51" ht="12.75" hidden="1"/>
    <row r="52" spans="52:54" ht="12.75" hidden="1">
      <c r="AZ52" s="1" t="str">
        <f>LEFT(AZ50,1)</f>
        <v>0</v>
      </c>
      <c r="BA52" s="1" t="str">
        <f>LEFT(RIGHT(BA50,2),1)</f>
        <v>0</v>
      </c>
      <c r="BB52" s="1">
        <f>RIGHT(BB50,1)*1</f>
        <v>1</v>
      </c>
    </row>
    <row r="53" ht="12.75" hidden="1">
      <c r="BC53" s="61" t="s">
        <v>158</v>
      </c>
    </row>
    <row r="54" ht="12.75" hidden="1">
      <c r="BA54" s="1" t="str">
        <f>LEFT(BA48,6)</f>
        <v>240601</v>
      </c>
    </row>
    <row r="55" ht="12.75" hidden="1"/>
    <row r="56" spans="52:53" ht="12.75" hidden="1">
      <c r="AZ56" s="1" t="str">
        <f>LEFT(RIGHT(BA54,2),1)</f>
        <v>0</v>
      </c>
      <c r="BA56" s="1" t="str">
        <f>RIGHT(RIGHT(BA54,2),1)</f>
        <v>1</v>
      </c>
    </row>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spans="52:53" ht="12.75" hidden="1">
      <c r="AZ94" s="29"/>
      <c r="BA94" s="29"/>
    </row>
    <row r="95" spans="52:53" ht="12.75" hidden="1">
      <c r="AZ95" s="29"/>
      <c r="BA95" s="29"/>
    </row>
    <row r="96" spans="52:53" ht="12.75" hidden="1">
      <c r="AZ96" s="29"/>
      <c r="BA96" s="29"/>
    </row>
    <row r="97" spans="52:53" ht="12.75" hidden="1">
      <c r="AZ97" s="29"/>
      <c r="BA97" s="29"/>
    </row>
    <row r="98" spans="52:53" ht="12.75" hidden="1">
      <c r="AZ98" s="29"/>
      <c r="BA98" s="29"/>
    </row>
    <row r="99" spans="52:53" ht="12.75" hidden="1">
      <c r="AZ99" s="29"/>
      <c r="BA99" s="29"/>
    </row>
    <row r="100" spans="52:53" ht="12.75" hidden="1">
      <c r="AZ100" s="29"/>
      <c r="BA100" s="29"/>
    </row>
    <row r="101" spans="52:53" ht="12.75" hidden="1">
      <c r="AZ101" s="29"/>
      <c r="BA101" s="29"/>
    </row>
    <row r="102" spans="52:53" ht="12.75" hidden="1">
      <c r="AZ102" s="29"/>
      <c r="BA102" s="29"/>
    </row>
    <row r="103" spans="52:53" ht="12.75" hidden="1">
      <c r="AZ103" s="29"/>
      <c r="BA103" s="29"/>
    </row>
    <row r="104" spans="2:53" ht="12.75" hidden="1">
      <c r="B104" s="194">
        <f>Y25</f>
        <v>4815</v>
      </c>
      <c r="C104" s="62">
        <f>(B104-B107)/1000</f>
        <v>4</v>
      </c>
      <c r="O104" s="62">
        <v>1</v>
      </c>
      <c r="P104" s="62" t="s">
        <v>38</v>
      </c>
      <c r="R104" s="29"/>
      <c r="AZ104" s="29"/>
      <c r="BA104" s="29"/>
    </row>
    <row r="105" spans="2:53" ht="12.75" hidden="1">
      <c r="B105" s="62">
        <f>(C104-B106)/100</f>
        <v>0</v>
      </c>
      <c r="C105" s="62">
        <f>B105</f>
        <v>0</v>
      </c>
      <c r="D105" s="62">
        <f>RIGHT(C105,2)*1</f>
        <v>0</v>
      </c>
      <c r="E105" s="62">
        <f>(C105-D105)/100</f>
        <v>0</v>
      </c>
      <c r="F105" s="62">
        <f>(D105-RIGHT(D105,1)*1)/10</f>
        <v>0</v>
      </c>
      <c r="G105" s="62">
        <f>RIGHT(C105,1)*1</f>
        <v>0</v>
      </c>
      <c r="H105" s="62" t="str">
        <f>IF(F105=O105,Q105,IF(F105=O106,Q106,IF(F105=O107,Q107,IF(F105=O108,Q108,IF(F105=O109,Q109,IF(F105=O110,Q110,IF(F105=O111,Q111,IF(F105=O112,Q112," "))))))))</f>
        <v> </v>
      </c>
      <c r="I105" s="62" t="str">
        <f>IF(F105=1," ",IF(G105=O104,P104,IF(G105=O105,P105,IF(G105=O106,P106,IF(G105=O107,P107,IF(G105=O108,P108,IF(G105=O109,P109," ")))))))</f>
        <v> </v>
      </c>
      <c r="J105" s="62" t="str">
        <f>IF(F105=1," ",IF(G105=O110,P110,IF(G105=O111,P111,IF(G105=O112,P112," "))))</f>
        <v> </v>
      </c>
      <c r="K105" s="62" t="str">
        <f>IF(F105=0," ",IF(F105&gt;1," ",IF(G105=O105,P115,IF(G105=O106,P116,IF(G105=O107,P117,IF(G105=O108,P118,IF(G105=O109,P119,IF(G105=O110,P120," "))))))))</f>
        <v> </v>
      </c>
      <c r="L105" s="62" t="str">
        <f>IF(F105=0," ",IF(F105&gt;1," ",IF(G105=O111,P121,IF(G105=O112,P122,IF(G105=O104,P114,IF(G105=0,P113," "))))))</f>
        <v> </v>
      </c>
      <c r="M105" s="62" t="str">
        <f>IF(F105=0," ","lakh")</f>
        <v> </v>
      </c>
      <c r="N105" s="62" t="str">
        <f>IF(G105=0," ",IF(F105&gt;0," ","lakh"))</f>
        <v> </v>
      </c>
      <c r="O105" s="62">
        <v>2</v>
      </c>
      <c r="P105" s="62" t="s">
        <v>39</v>
      </c>
      <c r="Q105" s="62" t="s">
        <v>40</v>
      </c>
      <c r="R105" s="29"/>
      <c r="AZ105" s="29"/>
      <c r="BA105" s="29"/>
    </row>
    <row r="106" spans="2:53" ht="12.75" hidden="1">
      <c r="B106" s="62">
        <f>RIGHT(C104,2)*1</f>
        <v>4</v>
      </c>
      <c r="C106" s="62">
        <f>B106</f>
        <v>4</v>
      </c>
      <c r="D106" s="62">
        <f>RIGHT(C106,2)*1</f>
        <v>4</v>
      </c>
      <c r="E106" s="62">
        <f>(C106-D106)/100</f>
        <v>0</v>
      </c>
      <c r="F106" s="62">
        <f>(D106-RIGHT(D106,1)*1)/10</f>
        <v>0</v>
      </c>
      <c r="G106" s="62">
        <f>RIGHT(C106,1)*1</f>
        <v>4</v>
      </c>
      <c r="H106" s="62" t="str">
        <f>IF(F106=O105,Q105,IF(F106=O106,Q106,IF(F106=O107,Q107,IF(F106=O108,Q108,IF(F106=O109,Q109,IF(F106=O110,Q110,IF(F106=O111,Q111,IF(F106=O112,Q112," "))))))))</f>
        <v> </v>
      </c>
      <c r="I106" s="62" t="str">
        <f>IF(F106=1," ",IF(G106=O104,P104,IF(G106=O105,P105,IF(G106=O106,P106,IF(G106=O107,P107,IF(G106=O108,P108,IF(G106=O109,P109," ")))))))</f>
        <v>Four</v>
      </c>
      <c r="J106" s="62" t="str">
        <f>IF(F106=1," ",IF(G106=O110,P110,IF(G106=O111,P111,IF(G106=O112,P112," "))))</f>
        <v> </v>
      </c>
      <c r="K106" s="62" t="str">
        <f>IF(F106=0," ",IF(F106&gt;1," ",IF(G106=O105,P115,IF(G106=O106,P116,IF(G106=O107,P117,IF(G106=O108,P118,IF(G106=O109,P119,IF(G106=O110,P120," "))))))))</f>
        <v> </v>
      </c>
      <c r="L106" s="62" t="str">
        <f>IF(F106=0," ",IF(F106&gt;1," ",IF(G106=O111,P121,IF(G106=O112,P122,IF(G106=O104,P114,IF(G106=0,P113," "))))))</f>
        <v> </v>
      </c>
      <c r="M106" s="62" t="str">
        <f>IF(F106=0," ","thousand")</f>
        <v> </v>
      </c>
      <c r="N106" s="62" t="str">
        <f>IF(G106=0," ",IF(F106&gt;0," ","thousand"))</f>
        <v>thousand</v>
      </c>
      <c r="O106" s="62">
        <v>3</v>
      </c>
      <c r="P106" s="62" t="s">
        <v>41</v>
      </c>
      <c r="Q106" s="62" t="s">
        <v>42</v>
      </c>
      <c r="R106" s="29"/>
      <c r="AZ106" s="29"/>
      <c r="BA106" s="29"/>
    </row>
    <row r="107" spans="2:53" ht="12.75" hidden="1">
      <c r="B107" s="62">
        <f>RIGHT(B104,3)*1</f>
        <v>815</v>
      </c>
      <c r="C107" s="62">
        <f>B107</f>
        <v>815</v>
      </c>
      <c r="D107" s="62">
        <f>ROUND((C107-E108)/100,0)</f>
        <v>8</v>
      </c>
      <c r="I107" s="62" t="str">
        <f>IF(D107=0," ",IF(D107=O104,P104,IF(D107=O105,P105,IF(D107=O106,P106,IF(D107=O107,P107,IF(D107=O108,P108,IF(D107=O109,P109," ")))))))</f>
        <v> </v>
      </c>
      <c r="J107" s="62" t="str">
        <f>IF(D107=0," ",IF(D107=O110,P110,IF(D107=O111,P111,IF(D107=O112,P112," "))))</f>
        <v>Eight</v>
      </c>
      <c r="M107" s="62" t="str">
        <f>IF(D107=0," ","hundred")</f>
        <v>hundred</v>
      </c>
      <c r="O107" s="62">
        <v>4</v>
      </c>
      <c r="P107" s="62" t="s">
        <v>43</v>
      </c>
      <c r="Q107" s="62" t="s">
        <v>44</v>
      </c>
      <c r="R107" s="29"/>
      <c r="AZ107" s="29"/>
      <c r="BA107" s="29"/>
    </row>
    <row r="108" spans="5:53" ht="12.75" hidden="1">
      <c r="E108" s="62">
        <f>RIGHT(C107,2)*1</f>
        <v>15</v>
      </c>
      <c r="F108" s="62">
        <f>(E108-RIGHT(E108,1)*1)/10</f>
        <v>1</v>
      </c>
      <c r="G108" s="62">
        <f>RIGHT(C107,1)*1</f>
        <v>5</v>
      </c>
      <c r="H108" s="62" t="str">
        <f>IF(F108=O105,Q105,IF(F108=O106,Q106,IF(F108=O107,Q107,IF(F108=O108,Q108,IF(F108=O109,Q109,IF(F108=O110,Q110,IF(F108=O111,Q111,IF(F108=O112,Q112," "))))))))</f>
        <v> </v>
      </c>
      <c r="I108" s="62" t="str">
        <f>IF(F108=1," ",IF(G108=O104,P104,IF(G108=O105,P105,IF(G108=O106,P106,IF(G108=O107,P107,IF(G108=O108,P108,IF(G108=O109,P109," ")))))))</f>
        <v> </v>
      </c>
      <c r="J108" s="62" t="str">
        <f>IF(F108=1," ",IF(G108=O110,P110,IF(G108=O111,P111,IF(G108=O112,P112," "))))</f>
        <v> </v>
      </c>
      <c r="K108" s="62" t="str">
        <f>IF(F108=0," ",IF(F108&gt;1," ",IF(G108=O105,P115,IF(G108=O106,P116,IF(G108=O107,P117,IF(G108=O108,P118,IF(G108=O109,P119,IF(G108=O110,P120," "))))))))</f>
        <v>Fifteen</v>
      </c>
      <c r="L108" s="62" t="str">
        <f>IF(F108=0," ",IF(F108&gt;1," ",IF(G108=O111,P121,IF(G108=O112,P122,IF(G108=O104,P114,IF(G108=0,P113," "))))))</f>
        <v> </v>
      </c>
      <c r="O108" s="62">
        <v>5</v>
      </c>
      <c r="P108" s="62" t="s">
        <v>45</v>
      </c>
      <c r="Q108" s="62" t="s">
        <v>46</v>
      </c>
      <c r="R108" s="29"/>
      <c r="AZ108" s="29"/>
      <c r="BA108" s="29"/>
    </row>
    <row r="109" spans="6:53" ht="12.75" hidden="1">
      <c r="F109" s="62">
        <f>F108</f>
        <v>1</v>
      </c>
      <c r="G109" s="62">
        <f>G108</f>
        <v>5</v>
      </c>
      <c r="O109" s="62">
        <v>6</v>
      </c>
      <c r="P109" s="62" t="s">
        <v>47</v>
      </c>
      <c r="Q109" s="62" t="s">
        <v>48</v>
      </c>
      <c r="R109" s="29"/>
      <c r="AZ109" s="29"/>
      <c r="BA109" s="29"/>
    </row>
    <row r="110" spans="15:53" ht="12.75" hidden="1">
      <c r="O110" s="62">
        <v>7</v>
      </c>
      <c r="P110" s="62" t="s">
        <v>49</v>
      </c>
      <c r="Q110" s="62" t="s">
        <v>50</v>
      </c>
      <c r="R110" s="29"/>
      <c r="AZ110" s="29"/>
      <c r="BA110" s="29"/>
    </row>
    <row r="111" spans="15:53" ht="12.75" hidden="1">
      <c r="O111" s="62">
        <v>8</v>
      </c>
      <c r="P111" s="62" t="s">
        <v>51</v>
      </c>
      <c r="Q111" s="62" t="s">
        <v>52</v>
      </c>
      <c r="R111" s="29"/>
      <c r="AZ111" s="29"/>
      <c r="BA111" s="29"/>
    </row>
    <row r="112" spans="2:53" ht="12.75" hidden="1">
      <c r="B112" s="62">
        <f>TRIM(H105&amp;" "&amp;I105&amp;" "&amp;J105&amp;" "&amp;K105&amp;" "&amp;L105&amp;" "&amp;M105&amp;" "&amp;N105)</f>
      </c>
      <c r="O112" s="62">
        <v>9</v>
      </c>
      <c r="P112" s="62" t="s">
        <v>53</v>
      </c>
      <c r="Q112" s="62" t="s">
        <v>54</v>
      </c>
      <c r="R112" s="29"/>
      <c r="AZ112" s="29"/>
      <c r="BA112" s="29"/>
    </row>
    <row r="113" spans="2:53" ht="12.75" hidden="1">
      <c r="B113" s="62" t="str">
        <f>TRIM(H106&amp;" "&amp;I106&amp;" "&amp;J106&amp;" "&amp;K106&amp;" "&amp;L106&amp;" "&amp;M106&amp;" "&amp;N106)</f>
        <v>Four thousand</v>
      </c>
      <c r="O113" s="62">
        <v>10</v>
      </c>
      <c r="P113" s="62" t="s">
        <v>55</v>
      </c>
      <c r="R113" s="29"/>
      <c r="AZ113" s="29"/>
      <c r="BA113" s="29"/>
    </row>
    <row r="114" spans="2:53" ht="12.75" hidden="1">
      <c r="B114" s="62" t="str">
        <f>TRIM(H107&amp;" "&amp;I107&amp;" "&amp;J107&amp;" "&amp;K107&amp;" "&amp;L107&amp;" "&amp;M107&amp;" "&amp;N107)</f>
        <v>Eight hundred</v>
      </c>
      <c r="O114" s="62">
        <v>11</v>
      </c>
      <c r="P114" s="62" t="s">
        <v>56</v>
      </c>
      <c r="R114" s="29"/>
      <c r="AZ114" s="29"/>
      <c r="BA114" s="29"/>
    </row>
    <row r="115" spans="2:53" ht="12.75" hidden="1">
      <c r="B115" s="62" t="str">
        <f>TRIM(H108&amp;" "&amp;I108&amp;" "&amp;J108&amp;" "&amp;K108&amp;" "&amp;L108)</f>
        <v>Fifteen</v>
      </c>
      <c r="O115" s="62">
        <v>12</v>
      </c>
      <c r="P115" s="62" t="s">
        <v>57</v>
      </c>
      <c r="R115" s="29"/>
      <c r="AZ115" s="29"/>
      <c r="BA115" s="29"/>
    </row>
    <row r="116" spans="2:53" ht="12.75" hidden="1">
      <c r="B116" s="62" t="str">
        <f>IF(B104&gt;0,TRIM(B112&amp;" "&amp;B113&amp;" "&amp;B114&amp;" "&amp;B115)&amp;" only","Zero only")</f>
        <v>Four thousand Eight hundred Fifteen only</v>
      </c>
      <c r="O116" s="62">
        <v>13</v>
      </c>
      <c r="P116" s="62" t="s">
        <v>58</v>
      </c>
      <c r="R116" s="29"/>
      <c r="AZ116" s="29"/>
      <c r="BA116" s="29"/>
    </row>
    <row r="117" spans="15:53" ht="12.75" hidden="1">
      <c r="O117" s="62">
        <v>14</v>
      </c>
      <c r="P117" s="62" t="s">
        <v>59</v>
      </c>
      <c r="R117" s="29"/>
      <c r="AZ117" s="29"/>
      <c r="BA117" s="29"/>
    </row>
    <row r="118" spans="15:53" ht="12.75" hidden="1">
      <c r="O118" s="62">
        <v>15</v>
      </c>
      <c r="P118" s="62" t="s">
        <v>60</v>
      </c>
      <c r="R118" s="29"/>
      <c r="AZ118" s="29"/>
      <c r="BA118" s="29"/>
    </row>
    <row r="119" spans="15:53" ht="12.75" hidden="1">
      <c r="O119" s="62">
        <v>16</v>
      </c>
      <c r="P119" s="62" t="s">
        <v>61</v>
      </c>
      <c r="R119" s="29"/>
      <c r="AZ119" s="29"/>
      <c r="BA119" s="29"/>
    </row>
    <row r="120" spans="15:53" ht="12.75" hidden="1">
      <c r="O120" s="62">
        <v>17</v>
      </c>
      <c r="P120" s="62" t="s">
        <v>62</v>
      </c>
      <c r="R120" s="29"/>
      <c r="AZ120" s="29"/>
      <c r="BA120" s="29"/>
    </row>
    <row r="121" spans="15:53" ht="12.75" hidden="1">
      <c r="O121" s="62">
        <v>18</v>
      </c>
      <c r="P121" s="62" t="s">
        <v>63</v>
      </c>
      <c r="R121" s="29"/>
      <c r="AZ121" s="29"/>
      <c r="BA121" s="29"/>
    </row>
    <row r="122" spans="15:53" ht="12.75" hidden="1">
      <c r="O122" s="62">
        <v>19</v>
      </c>
      <c r="P122" s="62" t="s">
        <v>64</v>
      </c>
      <c r="R122" s="29"/>
      <c r="AZ122" s="29"/>
      <c r="BA122" s="29"/>
    </row>
    <row r="123" spans="15:53" ht="12.75" hidden="1">
      <c r="O123" s="62">
        <v>20</v>
      </c>
      <c r="P123" s="62" t="s">
        <v>40</v>
      </c>
      <c r="R123" s="29"/>
      <c r="AZ123" s="29"/>
      <c r="BA123" s="29"/>
    </row>
    <row r="124" spans="15:53" ht="12.75" hidden="1">
      <c r="O124" s="62">
        <v>30</v>
      </c>
      <c r="P124" s="62" t="s">
        <v>42</v>
      </c>
      <c r="R124" s="29"/>
      <c r="AZ124" s="29"/>
      <c r="BA124" s="29"/>
    </row>
    <row r="125" spans="15:53" ht="12.75" hidden="1">
      <c r="O125" s="62">
        <v>40</v>
      </c>
      <c r="P125" s="62" t="s">
        <v>44</v>
      </c>
      <c r="R125" s="29"/>
      <c r="AZ125" s="29"/>
      <c r="BA125" s="29"/>
    </row>
    <row r="126" spans="15:53" ht="12.75" hidden="1">
      <c r="O126" s="62">
        <v>50</v>
      </c>
      <c r="P126" s="62" t="s">
        <v>46</v>
      </c>
      <c r="R126" s="29"/>
      <c r="AZ126" s="29"/>
      <c r="BA126" s="29"/>
    </row>
    <row r="127" spans="15:53" ht="12.75" hidden="1">
      <c r="O127" s="62">
        <v>60</v>
      </c>
      <c r="P127" s="62" t="s">
        <v>48</v>
      </c>
      <c r="R127" s="29"/>
      <c r="AZ127" s="29"/>
      <c r="BA127" s="29"/>
    </row>
    <row r="128" spans="15:53" ht="12.75" hidden="1">
      <c r="O128" s="62">
        <v>70</v>
      </c>
      <c r="P128" s="62" t="s">
        <v>50</v>
      </c>
      <c r="R128" s="29"/>
      <c r="AZ128" s="29"/>
      <c r="BA128" s="29"/>
    </row>
    <row r="129" spans="15:53" ht="12.75" hidden="1">
      <c r="O129" s="62">
        <v>80</v>
      </c>
      <c r="P129" s="62" t="s">
        <v>52</v>
      </c>
      <c r="R129" s="29"/>
      <c r="AZ129" s="29"/>
      <c r="BA129" s="29"/>
    </row>
    <row r="130" spans="15:53" ht="12.75" hidden="1">
      <c r="O130" s="62">
        <v>90</v>
      </c>
      <c r="P130" s="62" t="s">
        <v>54</v>
      </c>
      <c r="R130" s="29"/>
      <c r="AZ130" s="29"/>
      <c r="BA130" s="29"/>
    </row>
    <row r="131" spans="52:53" ht="12.75" hidden="1">
      <c r="AZ131" s="29"/>
      <c r="BA131" s="29"/>
    </row>
    <row r="132" spans="52:53" ht="12.75" hidden="1">
      <c r="AZ132" s="29"/>
      <c r="BA132" s="29"/>
    </row>
    <row r="133" spans="52:53" ht="12.75" hidden="1">
      <c r="AZ133" s="29"/>
      <c r="BA133" s="29"/>
    </row>
    <row r="134" spans="52:53" ht="12.75" hidden="1">
      <c r="AZ134" s="29"/>
      <c r="BA134" s="29"/>
    </row>
    <row r="135" spans="52:53" ht="12.75" hidden="1">
      <c r="AZ135" s="29"/>
      <c r="BA135" s="29"/>
    </row>
    <row r="136" spans="52:53" ht="12.75" hidden="1">
      <c r="AZ136" s="29"/>
      <c r="BA136" s="29"/>
    </row>
    <row r="137" spans="52:53" ht="12.75" hidden="1">
      <c r="AZ137" s="29"/>
      <c r="BA137" s="29"/>
    </row>
    <row r="138" spans="52:53" ht="12.75" hidden="1">
      <c r="AZ138" s="29"/>
      <c r="BA138" s="29"/>
    </row>
    <row r="139" spans="52:53" ht="12.75" hidden="1">
      <c r="AZ139" s="29"/>
      <c r="BA139" s="29"/>
    </row>
    <row r="140" spans="52:53" ht="12.75" hidden="1">
      <c r="AZ140" s="29"/>
      <c r="BA140" s="29"/>
    </row>
    <row r="141" spans="52:53" ht="12.75" hidden="1">
      <c r="AZ141" s="29"/>
      <c r="BA141" s="29"/>
    </row>
    <row r="142" spans="52:53" ht="12.75" hidden="1">
      <c r="AZ142" s="29"/>
      <c r="BA142" s="29"/>
    </row>
    <row r="143" ht="12.75" hidden="1"/>
  </sheetData>
  <sheetProtection password="D590" sheet="1" objects="1" scenarios="1" selectLockedCells="1"/>
  <mergeCells count="51">
    <mergeCell ref="I38:O38"/>
    <mergeCell ref="W38:AG38"/>
    <mergeCell ref="C22:C23"/>
    <mergeCell ref="K22:K23"/>
    <mergeCell ref="W22:W23"/>
    <mergeCell ref="Y22:Z23"/>
    <mergeCell ref="AB22:AD23"/>
    <mergeCell ref="AF22:AG23"/>
    <mergeCell ref="C25:G25"/>
    <mergeCell ref="I25:M25"/>
    <mergeCell ref="Y25:AG25"/>
    <mergeCell ref="AM32:AN32"/>
    <mergeCell ref="Q18:R18"/>
    <mergeCell ref="Y18:Z18"/>
    <mergeCell ref="AB18:AD18"/>
    <mergeCell ref="AM20:AU22"/>
    <mergeCell ref="AO18:AP18"/>
    <mergeCell ref="AO23:AS23"/>
    <mergeCell ref="G41:R41"/>
    <mergeCell ref="B27:AG28"/>
    <mergeCell ref="E29:M29"/>
    <mergeCell ref="U29:AG29"/>
    <mergeCell ref="AM24:AQ24"/>
    <mergeCell ref="G20:I20"/>
    <mergeCell ref="M20:R20"/>
    <mergeCell ref="W20:AD20"/>
    <mergeCell ref="O25:S25"/>
    <mergeCell ref="U25:W25"/>
    <mergeCell ref="Z14:AB14"/>
    <mergeCell ref="AD14:AF14"/>
    <mergeCell ref="E16:K16"/>
    <mergeCell ref="M16:O16"/>
    <mergeCell ref="R16:W16"/>
    <mergeCell ref="Z16:AE16"/>
    <mergeCell ref="C8:I8"/>
    <mergeCell ref="U8:AD8"/>
    <mergeCell ref="AR8:AS8"/>
    <mergeCell ref="AM16:AP16"/>
    <mergeCell ref="AT8:AU8"/>
    <mergeCell ref="M10:R10"/>
    <mergeCell ref="S10:AG10"/>
    <mergeCell ref="E12:I12"/>
    <mergeCell ref="O12:AG12"/>
    <mergeCell ref="R14:S14"/>
    <mergeCell ref="B2:AG2"/>
    <mergeCell ref="AM2:AU2"/>
    <mergeCell ref="AM3:AT3"/>
    <mergeCell ref="AM4:AT4"/>
    <mergeCell ref="W5:AG5"/>
    <mergeCell ref="C6:L6"/>
    <mergeCell ref="S6:AD6"/>
  </mergeCells>
  <printOptions horizontalCentered="1"/>
  <pageMargins left="0.26" right="0.24" top="0.59" bottom="0.52" header="0.5" footer="0.44"/>
  <pageSetup fitToHeight="1" fitToWidth="1" horizontalDpi="600" verticalDpi="600" orientation="landscape" paperSize="9" scale="88" r:id="rId2"/>
  <drawing r:id="rId1"/>
</worksheet>
</file>

<file path=xl/worksheets/sheet12.xml><?xml version="1.0" encoding="utf-8"?>
<worksheet xmlns="http://schemas.openxmlformats.org/spreadsheetml/2006/main" xmlns:r="http://schemas.openxmlformats.org/officeDocument/2006/relationships">
  <sheetPr codeName="Sheet12"/>
  <dimension ref="A1:IV23"/>
  <sheetViews>
    <sheetView showGridLines="0" showRowColHeaders="0" zoomScalePageLayoutView="0" workbookViewId="0" topLeftCell="A1">
      <selection activeCell="C4" sqref="C4"/>
    </sheetView>
  </sheetViews>
  <sheetFormatPr defaultColWidth="0" defaultRowHeight="28.5" customHeight="1" zeroHeight="1"/>
  <cols>
    <col min="1" max="1" width="4.421875" style="129" customWidth="1"/>
    <col min="2" max="2" width="10.140625" style="129" customWidth="1"/>
    <col min="3" max="3" width="14.57421875" style="129" customWidth="1"/>
    <col min="4" max="4" width="11.28125" style="129" customWidth="1"/>
    <col min="5" max="5" width="7.8515625" style="129" customWidth="1"/>
    <col min="6" max="7" width="9.421875" style="129" customWidth="1"/>
    <col min="8" max="8" width="12.57421875" style="129" customWidth="1"/>
    <col min="9" max="9" width="10.140625" style="129" customWidth="1"/>
    <col min="10" max="10" width="4.57421875" style="129" customWidth="1"/>
    <col min="11" max="11" width="20.28125" style="129" customWidth="1"/>
    <col min="12" max="18" width="9.140625" style="387" hidden="1" customWidth="1"/>
    <col min="19" max="254" width="9.140625" style="129" hidden="1" customWidth="1"/>
    <col min="255" max="255" width="1.8515625" style="129" hidden="1" customWidth="1"/>
    <col min="256" max="16384" width="5.28125" style="129" hidden="1" customWidth="1"/>
  </cols>
  <sheetData>
    <row r="1" spans="10:18" s="256" customFormat="1" ht="18.75" customHeight="1">
      <c r="J1" s="257"/>
      <c r="K1" s="348"/>
      <c r="L1" s="387"/>
      <c r="M1" s="387"/>
      <c r="N1" s="387"/>
      <c r="O1" s="387"/>
      <c r="P1" s="387"/>
      <c r="Q1" s="387"/>
      <c r="R1" s="387"/>
    </row>
    <row r="2" spans="1:256" ht="21.75" customHeight="1">
      <c r="A2" s="256"/>
      <c r="B2" s="567" t="str">
        <f>"PROCEEDINGS OF THE  "&amp;UPPER(Data!C22)&amp;", "&amp;UPPER(Data!C23)</f>
        <v>PROCEEDINGS OF THE  DISTRICT FOREST OFFICER, KAKINADA DIVISION, KAKINADA</v>
      </c>
      <c r="C2" s="567"/>
      <c r="D2" s="567"/>
      <c r="E2" s="567"/>
      <c r="F2" s="567"/>
      <c r="G2" s="567"/>
      <c r="H2" s="567"/>
      <c r="I2" s="567"/>
      <c r="J2" s="257"/>
      <c r="K2" s="348"/>
      <c r="IV2" s="256"/>
    </row>
    <row r="3" spans="1:256" ht="15.75" customHeight="1">
      <c r="A3" s="256"/>
      <c r="B3" s="420" t="str">
        <f>"Present : "&amp;Data!C21</f>
        <v>Present : Sri T.Subba Reddy, IFS.,</v>
      </c>
      <c r="C3" s="420"/>
      <c r="D3" s="420"/>
      <c r="E3" s="420"/>
      <c r="F3" s="420"/>
      <c r="G3" s="420"/>
      <c r="H3" s="420"/>
      <c r="I3" s="420"/>
      <c r="J3" s="257"/>
      <c r="K3" s="348"/>
      <c r="IV3" s="256"/>
    </row>
    <row r="4" spans="1:256" ht="15.75" customHeight="1">
      <c r="A4" s="256"/>
      <c r="B4" s="130" t="s">
        <v>229</v>
      </c>
      <c r="C4" s="152" t="str">
        <f>Data!C24</f>
        <v>2/2011 E</v>
      </c>
      <c r="D4" s="152"/>
      <c r="H4" s="131" t="s">
        <v>230</v>
      </c>
      <c r="I4" s="84">
        <f>Data!C25</f>
        <v>41772</v>
      </c>
      <c r="J4" s="257"/>
      <c r="K4" s="348"/>
      <c r="IV4" s="256"/>
    </row>
    <row r="5" spans="1:256" ht="8.25" customHeight="1">
      <c r="A5" s="256"/>
      <c r="J5" s="257"/>
      <c r="K5" s="348"/>
      <c r="IV5" s="256"/>
    </row>
    <row r="6" spans="1:256" ht="55.5" customHeight="1">
      <c r="A6" s="256"/>
      <c r="B6" s="132" t="s">
        <v>231</v>
      </c>
      <c r="C6" s="421" t="str">
        <f>"Forest Department – "&amp;" Final Payment of Group Insurance Scheme – Payment  of Accumulated savings  together with interest to "&amp;IF(Data!D7="Death Case",Data!C8&amp;" "&amp;Data!D8&amp;", "&amp;Data!D9&amp;" of "&amp;Data!C4&amp;" "&amp;Data!D4&amp;", "&amp;Data!D5,Data!D4&amp;", "&amp;Data!D5)&amp;" who is "&amp;IF(Data!D7="Retired Case","retired","died")&amp;" on "&amp;Data!I39&amp;" – Orders issued – Reg."</f>
        <v>Forest Department –  Final Payment of Group Insurance Scheme – Payment  of Accumulated savings  together with interest to Bandi Babji, Driver who is retired on 31-8-2012 – Orders issued – Reg.</v>
      </c>
      <c r="D6" s="421"/>
      <c r="E6" s="421"/>
      <c r="F6" s="421"/>
      <c r="G6" s="421"/>
      <c r="H6" s="421"/>
      <c r="I6" s="421"/>
      <c r="J6" s="257"/>
      <c r="K6" s="348"/>
      <c r="IV6" s="256"/>
    </row>
    <row r="7" spans="1:256" ht="19.5" customHeight="1">
      <c r="A7" s="256"/>
      <c r="B7" s="132" t="s">
        <v>232</v>
      </c>
      <c r="C7" s="133" t="s">
        <v>237</v>
      </c>
      <c r="D7" s="133"/>
      <c r="I7" s="134"/>
      <c r="J7" s="257"/>
      <c r="K7" s="348"/>
      <c r="IV7" s="256"/>
    </row>
    <row r="8" spans="1:256" ht="19.5" customHeight="1">
      <c r="A8" s="256"/>
      <c r="B8" s="135"/>
      <c r="C8" s="133" t="s">
        <v>238</v>
      </c>
      <c r="D8" s="133"/>
      <c r="J8" s="257"/>
      <c r="K8" s="348"/>
      <c r="IV8" s="256"/>
    </row>
    <row r="9" spans="1:256" ht="19.5" customHeight="1">
      <c r="A9" s="256"/>
      <c r="C9" s="133" t="s">
        <v>247</v>
      </c>
      <c r="D9" s="133"/>
      <c r="J9" s="257"/>
      <c r="K9" s="348"/>
      <c r="IV9" s="256"/>
    </row>
    <row r="10" spans="1:256" ht="19.5" customHeight="1">
      <c r="A10" s="256"/>
      <c r="C10" s="133" t="s">
        <v>328</v>
      </c>
      <c r="D10" s="133"/>
      <c r="H10" s="133"/>
      <c r="J10" s="257"/>
      <c r="K10" s="348"/>
      <c r="IV10" s="256"/>
    </row>
    <row r="11" spans="1:256" ht="19.5" customHeight="1">
      <c r="A11" s="256"/>
      <c r="C11" s="133" t="s">
        <v>333</v>
      </c>
      <c r="D11" s="133"/>
      <c r="E11" s="133"/>
      <c r="F11" s="133"/>
      <c r="G11" s="133"/>
      <c r="H11" s="133"/>
      <c r="J11" s="257"/>
      <c r="K11" s="348"/>
      <c r="IV11" s="256"/>
    </row>
    <row r="12" spans="1:256" ht="16.5" customHeight="1">
      <c r="A12" s="256"/>
      <c r="C12" s="136"/>
      <c r="D12" s="136"/>
      <c r="J12" s="257"/>
      <c r="K12" s="348"/>
      <c r="IV12" s="256"/>
    </row>
    <row r="13" spans="1:256" ht="89.25" customHeight="1">
      <c r="A13" s="256"/>
      <c r="B13" s="421" t="s">
        <v>326</v>
      </c>
      <c r="C13" s="421"/>
      <c r="D13" s="421"/>
      <c r="E13" s="421"/>
      <c r="F13" s="421"/>
      <c r="G13" s="421"/>
      <c r="H13" s="421"/>
      <c r="I13" s="421"/>
      <c r="J13" s="257"/>
      <c r="K13" s="348"/>
      <c r="L13" s="568"/>
      <c r="M13" s="568"/>
      <c r="N13" s="568"/>
      <c r="O13" s="568"/>
      <c r="P13" s="568"/>
      <c r="Q13" s="568"/>
      <c r="R13" s="568"/>
      <c r="IV13" s="256"/>
    </row>
    <row r="14" spans="1:256" ht="60.75" customHeight="1">
      <c r="A14" s="256"/>
      <c r="B14" s="426" t="str">
        <f>"            Sanction is hereby accorded to "&amp;IF(Data!D7="Death Case",Data!C8&amp;" "&amp;Data!D8&amp;", "&amp;Data!D9&amp;" of "&amp;Data!C4&amp;" "&amp;Data!D4&amp;", "&amp;Data!D5,Data!D4&amp;", "&amp;Data!D5)&amp;" who is "&amp;IF(Data!D7="Retired Case","retired","died")&amp;" on "&amp;Data!I39&amp;" towards Insurance under A.P.State Govt. Employees Group Insurance Scheme on his "&amp;IF(Data!D7="Retired Case","retirement","death")&amp;" as follows."</f>
        <v>            Sanction is hereby accorded to Bandi Babji, Driver who is retired on 31-8-2012 towards Insurance under A.P.State Govt. Employees Group Insurance Scheme on his retirement as follows.</v>
      </c>
      <c r="C14" s="426"/>
      <c r="D14" s="426"/>
      <c r="E14" s="426"/>
      <c r="F14" s="426"/>
      <c r="G14" s="426"/>
      <c r="H14" s="426"/>
      <c r="I14" s="426"/>
      <c r="J14" s="257"/>
      <c r="K14" s="348"/>
      <c r="IV14" s="256"/>
    </row>
    <row r="15" spans="1:256" ht="24" customHeight="1">
      <c r="A15" s="256"/>
      <c r="C15" s="569" t="s">
        <v>342</v>
      </c>
      <c r="D15" s="569"/>
      <c r="E15" s="569"/>
      <c r="F15" s="394" t="s">
        <v>106</v>
      </c>
      <c r="G15" s="397" t="str">
        <f>"Rs."&amp;'Calculation sheet'!AI27&amp;"/-"</f>
        <v>Rs.30000/-</v>
      </c>
      <c r="J15" s="257"/>
      <c r="K15" s="348"/>
      <c r="IV15" s="256"/>
    </row>
    <row r="16" spans="1:256" s="141" customFormat="1" ht="33.75" customHeight="1">
      <c r="A16" s="260"/>
      <c r="B16" s="570" t="str">
        <f>"("&amp;"Rupees "&amp;'Calculation sheet'!B133&amp;")"</f>
        <v>(Rupees Thirty thousand only)</v>
      </c>
      <c r="C16" s="570"/>
      <c r="D16" s="570"/>
      <c r="E16" s="570"/>
      <c r="F16" s="570"/>
      <c r="G16" s="570"/>
      <c r="H16" s="570"/>
      <c r="I16" s="570"/>
      <c r="J16" s="257"/>
      <c r="K16" s="351"/>
      <c r="L16" s="390"/>
      <c r="M16" s="390"/>
      <c r="N16" s="390"/>
      <c r="O16" s="390"/>
      <c r="P16" s="390"/>
      <c r="Q16" s="390"/>
      <c r="R16" s="390"/>
      <c r="IV16" s="260"/>
    </row>
    <row r="17" spans="1:256" ht="46.5" customHeight="1">
      <c r="A17" s="256"/>
      <c r="B17" s="427" t="s">
        <v>343</v>
      </c>
      <c r="C17" s="427"/>
      <c r="D17" s="427"/>
      <c r="E17" s="427"/>
      <c r="F17" s="427"/>
      <c r="G17" s="427"/>
      <c r="H17" s="427"/>
      <c r="I17" s="427"/>
      <c r="J17" s="257"/>
      <c r="K17" s="348"/>
      <c r="IV17" s="256"/>
    </row>
    <row r="18" spans="1:256" ht="18.75" customHeight="1">
      <c r="A18" s="256"/>
      <c r="J18" s="257"/>
      <c r="K18" s="348"/>
      <c r="IV18" s="256"/>
    </row>
    <row r="19" spans="1:256" ht="20.25" customHeight="1">
      <c r="A19" s="256"/>
      <c r="B19" s="142" t="s">
        <v>233</v>
      </c>
      <c r="G19" s="423" t="str">
        <f>Data!C22</f>
        <v>District Forest Officer</v>
      </c>
      <c r="H19" s="423"/>
      <c r="I19" s="423"/>
      <c r="J19" s="257"/>
      <c r="K19" s="348"/>
      <c r="IV19" s="256"/>
    </row>
    <row r="20" spans="1:256" ht="15" customHeight="1">
      <c r="A20" s="256"/>
      <c r="B20" s="142" t="s">
        <v>234</v>
      </c>
      <c r="G20" s="424" t="str">
        <f>Data!C23</f>
        <v>Kakinada Division, Kakinada</v>
      </c>
      <c r="H20" s="424"/>
      <c r="I20" s="424"/>
      <c r="J20" s="257"/>
      <c r="K20" s="348"/>
      <c r="IV20" s="256"/>
    </row>
    <row r="21" spans="1:256" ht="15.75" customHeight="1">
      <c r="A21" s="256"/>
      <c r="B21" s="142" t="s">
        <v>235</v>
      </c>
      <c r="J21" s="257"/>
      <c r="K21" s="348"/>
      <c r="IV21" s="256"/>
    </row>
    <row r="22" spans="1:256" ht="14.25" customHeight="1">
      <c r="A22" s="256"/>
      <c r="B22" s="129" t="str">
        <f>Data!C20</f>
        <v>DTO, Kakinada</v>
      </c>
      <c r="J22" s="257"/>
      <c r="K22" s="348"/>
      <c r="IV22" s="256"/>
    </row>
    <row r="23" spans="10:18" s="256" customFormat="1" ht="19.5" customHeight="1">
      <c r="J23" s="257"/>
      <c r="K23" s="348"/>
      <c r="L23" s="387"/>
      <c r="M23" s="387"/>
      <c r="N23" s="387"/>
      <c r="O23" s="387"/>
      <c r="P23" s="387"/>
      <c r="Q23" s="387"/>
      <c r="R23" s="387"/>
    </row>
    <row r="24" ht="28.5" customHeight="1" hidden="1"/>
  </sheetData>
  <sheetProtection password="D590" sheet="1" objects="1" scenarios="1" formatRows="0" selectLockedCells="1"/>
  <mergeCells count="11">
    <mergeCell ref="L13:R13"/>
    <mergeCell ref="C15:E15"/>
    <mergeCell ref="B14:I14"/>
    <mergeCell ref="B16:I16"/>
    <mergeCell ref="B17:I17"/>
    <mergeCell ref="B2:I2"/>
    <mergeCell ref="B3:I3"/>
    <mergeCell ref="C6:I6"/>
    <mergeCell ref="B13:I13"/>
    <mergeCell ref="G19:I19"/>
    <mergeCell ref="G20:I20"/>
  </mergeCells>
  <printOptions horizontalCentered="1"/>
  <pageMargins left="0.66" right="0.36" top="0.38" bottom="0.33"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3"/>
  <dimension ref="B1:BI324"/>
  <sheetViews>
    <sheetView showGridLines="0" showRowColHeaders="0" zoomScaleSheetLayoutView="100" zoomScalePageLayoutView="0" workbookViewId="0" topLeftCell="A1">
      <selection activeCell="B14" sqref="B14:B36"/>
    </sheetView>
  </sheetViews>
  <sheetFormatPr defaultColWidth="0" defaultRowHeight="12.75" customHeight="1" zeroHeight="1"/>
  <cols>
    <col min="1" max="1" width="4.57421875" style="262" customWidth="1"/>
    <col min="2" max="2" width="3.7109375" style="1" customWidth="1"/>
    <col min="3" max="3" width="4.140625" style="1" customWidth="1"/>
    <col min="4" max="4" width="4.00390625" style="1" customWidth="1"/>
    <col min="5" max="5" width="12.140625" style="1" customWidth="1"/>
    <col min="6" max="7" width="3.57421875" style="1" customWidth="1"/>
    <col min="8" max="8" width="1.421875" style="1" customWidth="1"/>
    <col min="9" max="12" width="3.7109375" style="1" customWidth="1"/>
    <col min="13" max="13" width="3.421875" style="1" customWidth="1"/>
    <col min="14" max="14" width="1.28515625" style="5" customWidth="1"/>
    <col min="15" max="15" width="16.421875" style="1" customWidth="1"/>
    <col min="16" max="19" width="4.00390625" style="1" customWidth="1"/>
    <col min="20" max="20" width="13.00390625" style="1" customWidth="1"/>
    <col min="21" max="21" width="1.1484375" style="1" customWidth="1"/>
    <col min="22" max="22" width="4.421875" style="1" customWidth="1"/>
    <col min="23" max="23" width="14.8515625" style="366" customWidth="1"/>
    <col min="24" max="24" width="4.140625" style="1" hidden="1" customWidth="1"/>
    <col min="25" max="25" width="9.140625" style="1" hidden="1" customWidth="1"/>
    <col min="26" max="26" width="22.8515625" style="1" hidden="1" customWidth="1"/>
    <col min="27" max="34" width="9.140625" style="1" hidden="1" customWidth="1"/>
    <col min="35" max="35" width="12.140625" style="1" hidden="1" customWidth="1"/>
    <col min="36" max="254" width="9.140625" style="1" hidden="1" customWidth="1"/>
    <col min="255" max="255" width="4.140625" style="1" hidden="1" customWidth="1"/>
    <col min="256" max="16384" width="4.00390625" style="1" hidden="1" customWidth="1"/>
  </cols>
  <sheetData>
    <row r="1" spans="2:22" ht="21.75" customHeight="1" thickBot="1">
      <c r="B1" s="262"/>
      <c r="C1" s="262"/>
      <c r="D1" s="262"/>
      <c r="E1" s="262"/>
      <c r="F1" s="262"/>
      <c r="G1" s="262"/>
      <c r="H1" s="262"/>
      <c r="I1" s="262"/>
      <c r="J1" s="262"/>
      <c r="K1" s="262"/>
      <c r="L1" s="262"/>
      <c r="M1" s="262"/>
      <c r="N1" s="263"/>
      <c r="O1" s="262"/>
      <c r="P1" s="262"/>
      <c r="Q1" s="262"/>
      <c r="R1" s="262"/>
      <c r="S1" s="262"/>
      <c r="T1" s="262"/>
      <c r="U1" s="262"/>
      <c r="V1" s="262"/>
    </row>
    <row r="2" spans="2:35" ht="14.25" customHeight="1">
      <c r="B2" s="232"/>
      <c r="C2" s="233"/>
      <c r="D2" s="233"/>
      <c r="E2" s="233"/>
      <c r="F2" s="233"/>
      <c r="G2" s="233"/>
      <c r="H2" s="233"/>
      <c r="I2" s="233"/>
      <c r="J2" s="233"/>
      <c r="K2" s="233" t="str">
        <f>"Payble at  "&amp;Data!C20</f>
        <v>Payble at  DTO, Kakinada</v>
      </c>
      <c r="L2" s="233"/>
      <c r="M2" s="233"/>
      <c r="N2" s="233"/>
      <c r="O2" s="233"/>
      <c r="P2" s="233"/>
      <c r="Q2" s="233"/>
      <c r="R2" s="233"/>
      <c r="S2" s="234"/>
      <c r="T2" s="234"/>
      <c r="U2" s="235"/>
      <c r="V2" s="262"/>
      <c r="AI2" s="1" t="s">
        <v>19</v>
      </c>
    </row>
    <row r="3" spans="2:22" ht="24.75" customHeight="1">
      <c r="B3" s="236"/>
      <c r="C3" s="475" t="s">
        <v>102</v>
      </c>
      <c r="D3" s="475"/>
      <c r="E3" s="475"/>
      <c r="F3" s="475"/>
      <c r="G3" s="475"/>
      <c r="H3" s="475"/>
      <c r="I3" s="475"/>
      <c r="J3" s="475"/>
      <c r="K3" s="475"/>
      <c r="L3" s="475"/>
      <c r="M3" s="475"/>
      <c r="N3" s="475"/>
      <c r="O3" s="475"/>
      <c r="P3" s="475"/>
      <c r="Q3" s="475"/>
      <c r="R3" s="475"/>
      <c r="S3" s="475"/>
      <c r="T3" s="475"/>
      <c r="U3" s="237"/>
      <c r="V3" s="262"/>
    </row>
    <row r="4" spans="2:22" ht="23.25" customHeight="1">
      <c r="B4" s="236"/>
      <c r="C4" s="476" t="s">
        <v>103</v>
      </c>
      <c r="D4" s="476"/>
      <c r="E4" s="476"/>
      <c r="F4" s="476"/>
      <c r="G4" s="476"/>
      <c r="H4" s="476"/>
      <c r="I4" s="476"/>
      <c r="J4" s="476"/>
      <c r="K4" s="476"/>
      <c r="L4" s="476"/>
      <c r="M4" s="476"/>
      <c r="N4" s="476"/>
      <c r="O4" s="476"/>
      <c r="P4" s="476"/>
      <c r="Q4" s="476"/>
      <c r="R4" s="476"/>
      <c r="S4" s="476"/>
      <c r="T4" s="476"/>
      <c r="U4" s="237"/>
      <c r="V4" s="262"/>
    </row>
    <row r="5" spans="2:22" ht="21.75" customHeight="1">
      <c r="B5" s="236"/>
      <c r="C5" s="14" t="s">
        <v>65</v>
      </c>
      <c r="D5" s="14"/>
      <c r="E5" s="57"/>
      <c r="F5" s="154" t="str">
        <f>IF(Data!F55&gt;9,LEFT(Data!F55,1),0)</f>
        <v>1</v>
      </c>
      <c r="G5" s="154" t="str">
        <f>RIGHT(Data!F55,1)</f>
        <v>2</v>
      </c>
      <c r="H5" s="155"/>
      <c r="I5" s="156" t="str">
        <f>LEFT(Data!G55,1)</f>
        <v>2</v>
      </c>
      <c r="J5" s="157" t="str">
        <f>RIGHT(LEFT(Data!G55,2),1)</f>
        <v>0</v>
      </c>
      <c r="K5" s="157" t="str">
        <f>LEFT(RIGHT(Data!G55,2),1)</f>
        <v>1</v>
      </c>
      <c r="L5" s="157" t="str">
        <f>RIGHT(Data!G55,1)</f>
        <v>3</v>
      </c>
      <c r="M5" s="57"/>
      <c r="N5" s="10"/>
      <c r="O5" s="238" t="s">
        <v>66</v>
      </c>
      <c r="P5" s="477" t="s">
        <v>244</v>
      </c>
      <c r="Q5" s="477"/>
      <c r="R5" s="477"/>
      <c r="S5" s="477"/>
      <c r="T5" s="477"/>
      <c r="U5" s="237"/>
      <c r="V5" s="262"/>
    </row>
    <row r="6" spans="2:22" ht="5.25" customHeight="1">
      <c r="B6" s="236"/>
      <c r="C6" s="14"/>
      <c r="D6" s="14"/>
      <c r="E6" s="57"/>
      <c r="F6" s="14"/>
      <c r="G6" s="14"/>
      <c r="H6" s="2"/>
      <c r="I6" s="30"/>
      <c r="J6" s="57"/>
      <c r="K6" s="57"/>
      <c r="L6" s="57"/>
      <c r="M6" s="57"/>
      <c r="N6" s="10"/>
      <c r="O6" s="57"/>
      <c r="P6" s="33"/>
      <c r="Q6" s="33"/>
      <c r="R6" s="33"/>
      <c r="S6" s="14"/>
      <c r="T6" s="14"/>
      <c r="U6" s="237"/>
      <c r="V6" s="262"/>
    </row>
    <row r="7" spans="2:22" ht="17.25" customHeight="1">
      <c r="B7" s="236"/>
      <c r="C7" s="14"/>
      <c r="D7" s="14"/>
      <c r="E7" s="14"/>
      <c r="F7" s="14"/>
      <c r="G7" s="14"/>
      <c r="H7" s="14"/>
      <c r="I7" s="14"/>
      <c r="J7" s="30"/>
      <c r="K7" s="30"/>
      <c r="L7" s="30"/>
      <c r="M7" s="30"/>
      <c r="N7" s="239"/>
      <c r="O7" s="40"/>
      <c r="P7" s="39"/>
      <c r="Q7" s="39"/>
      <c r="R7" s="41" t="s">
        <v>20</v>
      </c>
      <c r="S7" s="15"/>
      <c r="T7" s="15"/>
      <c r="U7" s="240"/>
      <c r="V7" s="262"/>
    </row>
    <row r="8" spans="2:30" ht="8.25" customHeight="1">
      <c r="B8" s="236"/>
      <c r="C8" s="37"/>
      <c r="D8" s="14"/>
      <c r="E8" s="14"/>
      <c r="F8" s="14"/>
      <c r="G8" s="14"/>
      <c r="H8" s="14"/>
      <c r="I8" s="14"/>
      <c r="J8" s="14"/>
      <c r="K8" s="14"/>
      <c r="L8" s="14"/>
      <c r="M8" s="4"/>
      <c r="N8" s="10"/>
      <c r="O8" s="6"/>
      <c r="P8" s="459"/>
      <c r="Q8" s="459"/>
      <c r="R8" s="14"/>
      <c r="S8" s="14"/>
      <c r="T8" s="14"/>
      <c r="U8" s="237"/>
      <c r="V8" s="262"/>
      <c r="AC8" s="8">
        <f>V14</f>
        <v>0</v>
      </c>
      <c r="AD8" s="9">
        <f>X14</f>
        <v>0</v>
      </c>
    </row>
    <row r="9" spans="2:26" ht="24" customHeight="1">
      <c r="B9" s="236"/>
      <c r="C9" s="38" t="s">
        <v>67</v>
      </c>
      <c r="D9" s="43"/>
      <c r="E9" s="478" t="str">
        <f>Data!C19</f>
        <v>East Godavari</v>
      </c>
      <c r="F9" s="478"/>
      <c r="G9" s="478"/>
      <c r="H9" s="478"/>
      <c r="I9" s="478"/>
      <c r="J9" s="478"/>
      <c r="K9" s="478"/>
      <c r="L9" s="478"/>
      <c r="M9" s="478"/>
      <c r="N9" s="10"/>
      <c r="O9" s="6" t="s">
        <v>21</v>
      </c>
      <c r="P9" s="14"/>
      <c r="Q9" s="14"/>
      <c r="R9" s="14"/>
      <c r="S9" s="14"/>
      <c r="T9" s="14"/>
      <c r="U9" s="237"/>
      <c r="V9" s="262"/>
      <c r="Z9" s="212" t="str">
        <f>Data!C26</f>
        <v>03010402001</v>
      </c>
    </row>
    <row r="10" spans="2:25" ht="5.25" customHeight="1">
      <c r="B10" s="236"/>
      <c r="C10" s="37"/>
      <c r="D10" s="241"/>
      <c r="E10" s="241"/>
      <c r="F10" s="242"/>
      <c r="G10" s="11"/>
      <c r="H10" s="11"/>
      <c r="I10" s="11"/>
      <c r="J10" s="11"/>
      <c r="K10" s="11"/>
      <c r="L10" s="11"/>
      <c r="M10" s="11"/>
      <c r="N10" s="10"/>
      <c r="O10" s="6"/>
      <c r="P10" s="10"/>
      <c r="Q10" s="10"/>
      <c r="R10" s="14"/>
      <c r="S10" s="14"/>
      <c r="T10" s="14"/>
      <c r="U10" s="237"/>
      <c r="V10" s="262"/>
      <c r="Y10" s="1" t="str">
        <f>LEFT(Z9,4)</f>
        <v>0301</v>
      </c>
    </row>
    <row r="11" spans="2:31" ht="25.5" customHeight="1">
      <c r="B11" s="236"/>
      <c r="C11" s="43" t="s">
        <v>69</v>
      </c>
      <c r="D11" s="43"/>
      <c r="E11" s="43"/>
      <c r="F11" s="43"/>
      <c r="G11" s="43"/>
      <c r="H11" s="43"/>
      <c r="I11" s="43"/>
      <c r="J11" s="479"/>
      <c r="K11" s="479"/>
      <c r="L11" s="479"/>
      <c r="M11" s="479"/>
      <c r="N11" s="10"/>
      <c r="O11" s="6" t="s">
        <v>23</v>
      </c>
      <c r="P11" s="480"/>
      <c r="Q11" s="481"/>
      <c r="R11" s="481"/>
      <c r="S11" s="481"/>
      <c r="T11" s="482"/>
      <c r="U11" s="237"/>
      <c r="V11" s="262"/>
      <c r="Y11" s="1" t="str">
        <f>LEFT(Y10,1)</f>
        <v>0</v>
      </c>
      <c r="Z11" s="1" t="str">
        <f>RIGHT(LEFT(Y10,2),1)</f>
        <v>3</v>
      </c>
      <c r="AA11" s="1" t="str">
        <f>LEFT(RIGHT(Y10,2),1)</f>
        <v>0</v>
      </c>
      <c r="AB11" s="1" t="str">
        <f>RIGHT(RIGHT(Y10,2),1)</f>
        <v>1</v>
      </c>
      <c r="AE11" s="1" t="str">
        <f>LEFT(Z11,1)</f>
        <v>3</v>
      </c>
    </row>
    <row r="12" spans="2:26" ht="12.75">
      <c r="B12" s="236"/>
      <c r="C12" s="14"/>
      <c r="D12" s="14"/>
      <c r="E12" s="14"/>
      <c r="F12" s="14"/>
      <c r="G12" s="14"/>
      <c r="H12" s="14"/>
      <c r="I12" s="14"/>
      <c r="J12" s="14"/>
      <c r="K12" s="14"/>
      <c r="L12" s="14"/>
      <c r="M12" s="14"/>
      <c r="N12" s="10"/>
      <c r="O12" s="12"/>
      <c r="P12" s="20"/>
      <c r="Q12" s="20"/>
      <c r="R12" s="20"/>
      <c r="S12" s="20"/>
      <c r="T12" s="20"/>
      <c r="U12" s="243"/>
      <c r="V12" s="262"/>
      <c r="Z12" s="1">
        <v>8011001060001000</v>
      </c>
    </row>
    <row r="13" spans="2:22" ht="6" customHeight="1">
      <c r="B13" s="236"/>
      <c r="C13" s="14"/>
      <c r="D13" s="14"/>
      <c r="E13" s="14"/>
      <c r="F13" s="14"/>
      <c r="G13" s="14"/>
      <c r="H13" s="14"/>
      <c r="I13" s="14"/>
      <c r="J13" s="10"/>
      <c r="K13" s="10"/>
      <c r="L13" s="10"/>
      <c r="M13" s="10"/>
      <c r="N13" s="10"/>
      <c r="O13" s="14"/>
      <c r="P13" s="14"/>
      <c r="Q13" s="14"/>
      <c r="R13" s="14"/>
      <c r="S13" s="14"/>
      <c r="T13" s="14"/>
      <c r="U13" s="237"/>
      <c r="V13" s="262"/>
    </row>
    <row r="14" spans="2:26" ht="15" customHeight="1">
      <c r="B14" s="452" t="str">
        <f>"Under Rupees "&amp;Y117</f>
        <v>Under Rupees Thirty thousand One only</v>
      </c>
      <c r="C14" s="15"/>
      <c r="D14" s="15"/>
      <c r="E14" s="15"/>
      <c r="F14" s="15"/>
      <c r="G14" s="15"/>
      <c r="H14" s="15"/>
      <c r="I14" s="15"/>
      <c r="J14" s="15"/>
      <c r="K14" s="15"/>
      <c r="L14" s="15"/>
      <c r="M14" s="3"/>
      <c r="N14" s="34"/>
      <c r="O14" s="467" t="s">
        <v>28</v>
      </c>
      <c r="P14" s="467"/>
      <c r="Q14" s="15"/>
      <c r="R14" s="15"/>
      <c r="S14" s="15"/>
      <c r="T14" s="15"/>
      <c r="U14" s="240"/>
      <c r="V14" s="264"/>
      <c r="W14" s="367"/>
      <c r="X14" s="14"/>
      <c r="Z14" s="1" t="str">
        <f>LEFT(Z12,9)</f>
        <v>801100106</v>
      </c>
    </row>
    <row r="15" spans="2:24" ht="25.5" customHeight="1">
      <c r="B15" s="452"/>
      <c r="C15" s="468" t="s">
        <v>22</v>
      </c>
      <c r="D15" s="468"/>
      <c r="E15" s="468"/>
      <c r="F15" s="14"/>
      <c r="G15" s="14"/>
      <c r="H15" s="14"/>
      <c r="I15" s="154" t="str">
        <f>Y58</f>
        <v>0</v>
      </c>
      <c r="J15" s="154" t="str">
        <f>Z58</f>
        <v>3</v>
      </c>
      <c r="K15" s="154" t="str">
        <f>AA58</f>
        <v>0</v>
      </c>
      <c r="L15" s="154" t="str">
        <f>AB58</f>
        <v>1</v>
      </c>
      <c r="M15" s="7"/>
      <c r="N15" s="469"/>
      <c r="O15" s="21" t="s">
        <v>29</v>
      </c>
      <c r="P15" s="157">
        <v>8</v>
      </c>
      <c r="Q15" s="157">
        <v>0</v>
      </c>
      <c r="R15" s="157">
        <v>1</v>
      </c>
      <c r="S15" s="157">
        <v>1</v>
      </c>
      <c r="T15" s="56" t="s">
        <v>74</v>
      </c>
      <c r="U15" s="237"/>
      <c r="V15" s="265"/>
      <c r="W15" s="368"/>
      <c r="X15" s="23"/>
    </row>
    <row r="16" spans="2:27" ht="4.5" customHeight="1">
      <c r="B16" s="452"/>
      <c r="C16" s="14"/>
      <c r="D16" s="14"/>
      <c r="E16" s="14"/>
      <c r="F16" s="11"/>
      <c r="G16" s="11"/>
      <c r="H16" s="11"/>
      <c r="I16" s="11"/>
      <c r="J16" s="11"/>
      <c r="K16" s="11"/>
      <c r="L16" s="11"/>
      <c r="M16" s="18"/>
      <c r="N16" s="469"/>
      <c r="O16" s="16"/>
      <c r="P16" s="11"/>
      <c r="Q16" s="11"/>
      <c r="R16" s="11"/>
      <c r="S16" s="11"/>
      <c r="T16" s="11"/>
      <c r="U16" s="237"/>
      <c r="V16" s="266"/>
      <c r="W16" s="369"/>
      <c r="X16" s="17"/>
      <c r="Y16" s="1" t="str">
        <f>RIGHT(Z14,3)</f>
        <v>106</v>
      </c>
      <c r="Z16" s="1" t="str">
        <f>RIGHT(Z14,3)</f>
        <v>106</v>
      </c>
      <c r="AA16" s="1" t="str">
        <f>RIGHT(Z14,3)</f>
        <v>106</v>
      </c>
    </row>
    <row r="17" spans="2:24" ht="25.5" customHeight="1">
      <c r="B17" s="452"/>
      <c r="C17" s="14" t="s">
        <v>24</v>
      </c>
      <c r="D17" s="14"/>
      <c r="E17" s="14"/>
      <c r="F17" s="462" t="str">
        <f>Data!C26</f>
        <v>03010402001</v>
      </c>
      <c r="G17" s="463"/>
      <c r="H17" s="463"/>
      <c r="I17" s="463"/>
      <c r="J17" s="463"/>
      <c r="K17" s="463"/>
      <c r="L17" s="463"/>
      <c r="M17" s="24"/>
      <c r="N17" s="469"/>
      <c r="O17" s="21" t="s">
        <v>17</v>
      </c>
      <c r="P17" s="157">
        <v>0</v>
      </c>
      <c r="Q17" s="157">
        <v>0</v>
      </c>
      <c r="R17" s="11"/>
      <c r="S17" s="11"/>
      <c r="T17" s="11"/>
      <c r="U17" s="237"/>
      <c r="V17" s="267"/>
      <c r="W17" s="370"/>
      <c r="X17" s="25"/>
    </row>
    <row r="18" spans="2:27" ht="4.5" customHeight="1">
      <c r="B18" s="452"/>
      <c r="C18" s="37"/>
      <c r="D18" s="16"/>
      <c r="E18" s="16"/>
      <c r="F18" s="23"/>
      <c r="G18" s="23"/>
      <c r="H18" s="23"/>
      <c r="I18" s="23"/>
      <c r="J18" s="23"/>
      <c r="K18" s="23"/>
      <c r="L18" s="23"/>
      <c r="M18" s="47"/>
      <c r="N18" s="469"/>
      <c r="O18" s="16"/>
      <c r="P18" s="11"/>
      <c r="Q18" s="11"/>
      <c r="R18" s="11"/>
      <c r="S18" s="11"/>
      <c r="T18" s="11"/>
      <c r="U18" s="237"/>
      <c r="V18" s="266"/>
      <c r="W18" s="369"/>
      <c r="X18" s="17"/>
      <c r="Y18" s="1" t="str">
        <f>LEFT(Y16,1)</f>
        <v>1</v>
      </c>
      <c r="Z18" s="1" t="str">
        <f>LEFT(RIGHT(Z16,2),1)</f>
        <v>0</v>
      </c>
      <c r="AA18" s="1">
        <f>RIGHT(AA16,1)*1</f>
        <v>6</v>
      </c>
    </row>
    <row r="19" spans="2:28" ht="25.5" customHeight="1">
      <c r="B19" s="452"/>
      <c r="C19" s="14" t="s">
        <v>25</v>
      </c>
      <c r="D19" s="14"/>
      <c r="E19" s="14"/>
      <c r="F19" s="470" t="str">
        <f>Data!C22</f>
        <v>District Forest Officer</v>
      </c>
      <c r="G19" s="470"/>
      <c r="H19" s="470"/>
      <c r="I19" s="470"/>
      <c r="J19" s="470"/>
      <c r="K19" s="470"/>
      <c r="L19" s="470"/>
      <c r="M19" s="47"/>
      <c r="N19" s="469"/>
      <c r="O19" s="21" t="s">
        <v>11</v>
      </c>
      <c r="P19" s="157">
        <v>1</v>
      </c>
      <c r="Q19" s="157">
        <v>0</v>
      </c>
      <c r="R19" s="157">
        <v>7</v>
      </c>
      <c r="S19" s="11"/>
      <c r="T19" s="244" t="s">
        <v>228</v>
      </c>
      <c r="U19" s="237"/>
      <c r="V19" s="268"/>
      <c r="W19" s="371"/>
      <c r="X19" s="31"/>
      <c r="AB19" s="61" t="s">
        <v>158</v>
      </c>
    </row>
    <row r="20" spans="2:26" ht="4.5" customHeight="1">
      <c r="B20" s="452"/>
      <c r="C20" s="37"/>
      <c r="D20" s="16"/>
      <c r="E20" s="16"/>
      <c r="F20" s="23"/>
      <c r="G20" s="23"/>
      <c r="H20" s="23"/>
      <c r="I20" s="23"/>
      <c r="J20" s="23"/>
      <c r="K20" s="23"/>
      <c r="L20" s="23"/>
      <c r="M20" s="47"/>
      <c r="N20" s="469"/>
      <c r="O20" s="16"/>
      <c r="P20" s="11"/>
      <c r="Q20" s="11"/>
      <c r="R20" s="11"/>
      <c r="S20" s="11"/>
      <c r="T20" s="11"/>
      <c r="U20" s="237"/>
      <c r="V20" s="268"/>
      <c r="W20" s="371"/>
      <c r="X20" s="31"/>
      <c r="Z20" s="1" t="str">
        <f>LEFT(Z14,6)</f>
        <v>801100</v>
      </c>
    </row>
    <row r="21" spans="2:24" ht="27" customHeight="1">
      <c r="B21" s="452"/>
      <c r="C21" s="14" t="s">
        <v>26</v>
      </c>
      <c r="D21" s="21"/>
      <c r="E21" s="21"/>
      <c r="F21" s="461" t="str">
        <f>Data!C23</f>
        <v>Kakinada Division, Kakinada</v>
      </c>
      <c r="G21" s="461"/>
      <c r="H21" s="461"/>
      <c r="I21" s="461"/>
      <c r="J21" s="461"/>
      <c r="K21" s="461"/>
      <c r="L21" s="461"/>
      <c r="M21" s="24"/>
      <c r="N21" s="49"/>
      <c r="O21" s="16" t="s">
        <v>30</v>
      </c>
      <c r="P21" s="157">
        <v>0</v>
      </c>
      <c r="Q21" s="157">
        <v>0</v>
      </c>
      <c r="R21" s="11"/>
      <c r="S21" s="11"/>
      <c r="T21" s="11"/>
      <c r="U21" s="237"/>
      <c r="V21" s="267"/>
      <c r="W21" s="370"/>
      <c r="X21" s="25"/>
    </row>
    <row r="22" spans="2:26" ht="4.5" customHeight="1">
      <c r="B22" s="452"/>
      <c r="C22" s="37"/>
      <c r="D22" s="16"/>
      <c r="E22" s="16"/>
      <c r="F22" s="23"/>
      <c r="G22" s="23"/>
      <c r="H22" s="23"/>
      <c r="I22" s="23"/>
      <c r="J22" s="23"/>
      <c r="K22" s="23"/>
      <c r="L22" s="23"/>
      <c r="M22" s="47"/>
      <c r="N22" s="49"/>
      <c r="O22" s="14"/>
      <c r="P22" s="11"/>
      <c r="Q22" s="11"/>
      <c r="R22" s="11"/>
      <c r="S22" s="11"/>
      <c r="T22" s="11"/>
      <c r="U22" s="237"/>
      <c r="V22" s="266"/>
      <c r="W22" s="369"/>
      <c r="X22" s="17"/>
      <c r="Y22" s="1" t="str">
        <f>LEFT(RIGHT(Z20,2),1)</f>
        <v>0</v>
      </c>
      <c r="Z22" s="1" t="str">
        <f>RIGHT(RIGHT(Z20,2),1)</f>
        <v>0</v>
      </c>
    </row>
    <row r="23" spans="2:24" ht="25.5" customHeight="1">
      <c r="B23" s="452"/>
      <c r="C23" s="14" t="s">
        <v>27</v>
      </c>
      <c r="D23" s="14"/>
      <c r="E23" s="14"/>
      <c r="F23" s="462" t="str">
        <f>Data!C28</f>
        <v>01425</v>
      </c>
      <c r="G23" s="463"/>
      <c r="H23" s="463"/>
      <c r="I23" s="463"/>
      <c r="J23" s="463"/>
      <c r="K23" s="463"/>
      <c r="L23" s="463"/>
      <c r="M23" s="48"/>
      <c r="N23" s="49"/>
      <c r="O23" s="16" t="s">
        <v>16</v>
      </c>
      <c r="P23" s="157">
        <v>0</v>
      </c>
      <c r="Q23" s="157">
        <v>1</v>
      </c>
      <c r="R23" s="11"/>
      <c r="S23" s="11"/>
      <c r="T23" s="11" t="s">
        <v>227</v>
      </c>
      <c r="U23" s="237"/>
      <c r="V23" s="269"/>
      <c r="W23" s="372"/>
      <c r="X23" s="32"/>
    </row>
    <row r="24" spans="2:24" ht="4.5" customHeight="1">
      <c r="B24" s="452"/>
      <c r="C24" s="14"/>
      <c r="D24" s="14"/>
      <c r="E24" s="42"/>
      <c r="F24" s="11"/>
      <c r="G24" s="11"/>
      <c r="H24" s="11"/>
      <c r="I24" s="11"/>
      <c r="J24" s="11"/>
      <c r="K24" s="11"/>
      <c r="L24" s="11"/>
      <c r="M24" s="18"/>
      <c r="N24" s="49"/>
      <c r="O24" s="14"/>
      <c r="P24" s="11"/>
      <c r="Q24" s="11"/>
      <c r="R24" s="11"/>
      <c r="S24" s="11"/>
      <c r="T24" s="11"/>
      <c r="U24" s="237"/>
      <c r="V24" s="266"/>
      <c r="W24" s="369"/>
      <c r="X24" s="17"/>
    </row>
    <row r="25" spans="2:24" ht="25.5" customHeight="1">
      <c r="B25" s="452"/>
      <c r="C25" s="43" t="s">
        <v>70</v>
      </c>
      <c r="D25" s="43"/>
      <c r="E25" s="44"/>
      <c r="F25" s="483" t="str">
        <f>Data!C29</f>
        <v>SBI, Try. Branch, Kakinada</v>
      </c>
      <c r="G25" s="483"/>
      <c r="H25" s="483"/>
      <c r="I25" s="483"/>
      <c r="J25" s="483"/>
      <c r="K25" s="483"/>
      <c r="L25" s="483"/>
      <c r="M25" s="24"/>
      <c r="N25" s="50"/>
      <c r="O25" s="16" t="s">
        <v>15</v>
      </c>
      <c r="P25" s="157">
        <v>0</v>
      </c>
      <c r="Q25" s="157">
        <v>0</v>
      </c>
      <c r="R25" s="157">
        <v>0</v>
      </c>
      <c r="S25" s="11"/>
      <c r="T25" s="11"/>
      <c r="U25" s="237"/>
      <c r="V25" s="267"/>
      <c r="W25" s="370"/>
      <c r="X25" s="25"/>
    </row>
    <row r="26" spans="2:24" ht="4.5" customHeight="1">
      <c r="B26" s="452"/>
      <c r="C26" s="37"/>
      <c r="D26" s="14"/>
      <c r="E26" s="10"/>
      <c r="F26" s="10"/>
      <c r="G26" s="10"/>
      <c r="H26" s="10"/>
      <c r="I26" s="10"/>
      <c r="J26" s="10"/>
      <c r="K26" s="10"/>
      <c r="L26" s="10"/>
      <c r="M26" s="26"/>
      <c r="N26" s="50"/>
      <c r="O26" s="14"/>
      <c r="P26" s="13"/>
      <c r="Q26" s="13"/>
      <c r="R26" s="13"/>
      <c r="S26" s="10"/>
      <c r="T26" s="10"/>
      <c r="U26" s="245"/>
      <c r="V26" s="270"/>
      <c r="W26" s="373"/>
      <c r="X26" s="10"/>
    </row>
    <row r="27" spans="2:24" ht="25.5" customHeight="1">
      <c r="B27" s="452"/>
      <c r="C27" s="37"/>
      <c r="D27" s="14"/>
      <c r="E27" s="10"/>
      <c r="F27" s="10"/>
      <c r="G27" s="10"/>
      <c r="H27" s="10"/>
      <c r="I27" s="10"/>
      <c r="J27" s="10"/>
      <c r="K27" s="10"/>
      <c r="L27" s="10"/>
      <c r="M27" s="26"/>
      <c r="N27" s="50"/>
      <c r="O27" s="16" t="s">
        <v>68</v>
      </c>
      <c r="P27" s="157">
        <v>0</v>
      </c>
      <c r="Q27" s="157">
        <v>0</v>
      </c>
      <c r="R27" s="157">
        <v>1</v>
      </c>
      <c r="S27" s="19"/>
      <c r="T27" s="10" t="s">
        <v>293</v>
      </c>
      <c r="U27" s="245"/>
      <c r="V27" s="270"/>
      <c r="W27" s="373"/>
      <c r="X27" s="10"/>
    </row>
    <row r="28" spans="2:22" ht="4.5" customHeight="1">
      <c r="B28" s="452"/>
      <c r="C28" s="46"/>
      <c r="D28" s="20"/>
      <c r="E28" s="20"/>
      <c r="F28" s="20"/>
      <c r="G28" s="20"/>
      <c r="H28" s="20"/>
      <c r="I28" s="20"/>
      <c r="J28" s="20"/>
      <c r="K28" s="20"/>
      <c r="L28" s="20"/>
      <c r="M28" s="20"/>
      <c r="N28" s="35"/>
      <c r="O28" s="20"/>
      <c r="P28" s="20"/>
      <c r="Q28" s="20"/>
      <c r="R28" s="20"/>
      <c r="S28" s="20"/>
      <c r="T28" s="20"/>
      <c r="U28" s="243"/>
      <c r="V28" s="262"/>
    </row>
    <row r="29" spans="2:22" ht="4.5" customHeight="1">
      <c r="B29" s="452"/>
      <c r="C29" s="37"/>
      <c r="D29" s="14"/>
      <c r="E29" s="14"/>
      <c r="F29" s="20"/>
      <c r="G29" s="14"/>
      <c r="H29" s="14"/>
      <c r="I29" s="14"/>
      <c r="J29" s="14"/>
      <c r="K29" s="14"/>
      <c r="L29" s="14"/>
      <c r="M29" s="36"/>
      <c r="N29" s="10"/>
      <c r="O29" s="14"/>
      <c r="P29" s="14"/>
      <c r="Q29" s="14"/>
      <c r="R29" s="20"/>
      <c r="S29" s="14"/>
      <c r="T29" s="14"/>
      <c r="U29" s="237"/>
      <c r="V29" s="262"/>
    </row>
    <row r="30" spans="2:31" ht="24.75" customHeight="1">
      <c r="B30" s="452"/>
      <c r="C30" s="14" t="s">
        <v>75</v>
      </c>
      <c r="D30" s="14"/>
      <c r="E30" s="7"/>
      <c r="F30" s="45" t="s">
        <v>31</v>
      </c>
      <c r="G30" s="472" t="s">
        <v>76</v>
      </c>
      <c r="H30" s="473"/>
      <c r="I30" s="473"/>
      <c r="J30" s="473"/>
      <c r="K30" s="473"/>
      <c r="L30" s="474"/>
      <c r="M30" s="45" t="s">
        <v>33</v>
      </c>
      <c r="N30" s="19"/>
      <c r="O30" s="246" t="s">
        <v>71</v>
      </c>
      <c r="P30" s="154" t="str">
        <f>Y69</f>
        <v>2</v>
      </c>
      <c r="Q30" s="154" t="str">
        <f>Z69</f>
        <v>4</v>
      </c>
      <c r="R30" s="154" t="str">
        <f>AA69</f>
        <v>0</v>
      </c>
      <c r="S30" s="154" t="str">
        <f>AB69</f>
        <v>6</v>
      </c>
      <c r="T30" s="14"/>
      <c r="U30" s="237"/>
      <c r="V30" s="262"/>
      <c r="Y30" s="464"/>
      <c r="Z30" s="464"/>
      <c r="AA30" s="465"/>
      <c r="AB30" s="45" t="s">
        <v>31</v>
      </c>
      <c r="AC30" s="22" t="s">
        <v>32</v>
      </c>
      <c r="AD30" s="23"/>
      <c r="AE30" s="23"/>
    </row>
    <row r="31" spans="2:22" ht="15" customHeight="1">
      <c r="B31" s="452"/>
      <c r="C31" s="37"/>
      <c r="D31" s="14"/>
      <c r="E31" s="14"/>
      <c r="F31" s="14"/>
      <c r="G31" s="14"/>
      <c r="H31" s="14"/>
      <c r="I31" s="14"/>
      <c r="J31" s="14"/>
      <c r="K31" s="14"/>
      <c r="L31" s="14"/>
      <c r="M31" s="14"/>
      <c r="N31" s="10"/>
      <c r="O31" s="14"/>
      <c r="P31" s="14"/>
      <c r="Q31" s="14"/>
      <c r="R31" s="14"/>
      <c r="S31" s="14"/>
      <c r="T31" s="14"/>
      <c r="U31" s="237"/>
      <c r="V31" s="262"/>
    </row>
    <row r="32" spans="2:24" ht="15" customHeight="1">
      <c r="B32" s="452"/>
      <c r="C32" s="53" t="s">
        <v>92</v>
      </c>
      <c r="D32" s="53"/>
      <c r="E32" s="59"/>
      <c r="F32" s="14"/>
      <c r="G32" s="466">
        <f>'Calculation sheet'!AI27</f>
        <v>30000</v>
      </c>
      <c r="H32" s="466"/>
      <c r="I32" s="466"/>
      <c r="J32" s="471" t="str">
        <f>CONCATENATE("(In words"," ",$Y$89,")")</f>
        <v>(In words Thirty thousand Rupees only)</v>
      </c>
      <c r="K32" s="471"/>
      <c r="L32" s="471"/>
      <c r="M32" s="471"/>
      <c r="N32" s="471"/>
      <c r="O32" s="471"/>
      <c r="P32" s="471"/>
      <c r="Q32" s="471"/>
      <c r="R32" s="471"/>
      <c r="S32" s="471"/>
      <c r="T32" s="471"/>
      <c r="U32" s="247"/>
      <c r="V32" s="271"/>
      <c r="W32" s="374"/>
      <c r="X32" s="27"/>
    </row>
    <row r="33" spans="2:22" ht="23.25" customHeight="1">
      <c r="B33" s="452"/>
      <c r="C33" s="454"/>
      <c r="D33" s="454"/>
      <c r="E33" s="454"/>
      <c r="F33" s="454"/>
      <c r="G33" s="454"/>
      <c r="H33" s="454"/>
      <c r="I33" s="454"/>
      <c r="J33" s="454"/>
      <c r="K33" s="454"/>
      <c r="L33" s="454"/>
      <c r="M33" s="454"/>
      <c r="N33" s="454"/>
      <c r="O33" s="454"/>
      <c r="P33" s="454"/>
      <c r="Q33" s="454"/>
      <c r="R33" s="454"/>
      <c r="S33" s="454"/>
      <c r="T33" s="454"/>
      <c r="U33" s="237"/>
      <c r="V33" s="262"/>
    </row>
    <row r="34" spans="2:22" ht="6" customHeight="1">
      <c r="B34" s="452"/>
      <c r="C34" s="248" t="s">
        <v>72</v>
      </c>
      <c r="D34" s="249"/>
      <c r="E34" s="249"/>
      <c r="F34" s="249"/>
      <c r="G34" s="249"/>
      <c r="H34" s="249"/>
      <c r="I34" s="249"/>
      <c r="J34" s="249"/>
      <c r="K34" s="249"/>
      <c r="L34" s="249"/>
      <c r="M34" s="51"/>
      <c r="N34" s="58"/>
      <c r="O34" s="14"/>
      <c r="P34" s="14"/>
      <c r="Q34" s="14"/>
      <c r="R34" s="14"/>
      <c r="S34" s="14"/>
      <c r="T34" s="14"/>
      <c r="U34" s="237"/>
      <c r="V34" s="262"/>
    </row>
    <row r="35" spans="2:22" ht="16.5" customHeight="1">
      <c r="B35" s="452"/>
      <c r="C35" s="54"/>
      <c r="D35" s="54"/>
      <c r="E35" s="54"/>
      <c r="F35" s="54"/>
      <c r="G35" s="54"/>
      <c r="H35" s="54"/>
      <c r="I35" s="54"/>
      <c r="J35" s="455" t="s">
        <v>73</v>
      </c>
      <c r="K35" s="455"/>
      <c r="L35" s="455"/>
      <c r="M35" s="455"/>
      <c r="N35" s="10"/>
      <c r="O35" s="55"/>
      <c r="P35" s="23" t="s">
        <v>94</v>
      </c>
      <c r="Q35" s="52"/>
      <c r="R35" s="14"/>
      <c r="S35" s="14"/>
      <c r="T35" s="14"/>
      <c r="U35" s="237"/>
      <c r="V35" s="262"/>
    </row>
    <row r="36" spans="2:22" ht="22.5" customHeight="1">
      <c r="B36" s="452"/>
      <c r="C36" s="43" t="s">
        <v>93</v>
      </c>
      <c r="D36" s="249"/>
      <c r="E36" s="249"/>
      <c r="F36" s="249"/>
      <c r="G36" s="249"/>
      <c r="H36" s="249"/>
      <c r="I36" s="249"/>
      <c r="J36" s="249"/>
      <c r="K36" s="249"/>
      <c r="L36" s="249"/>
      <c r="M36" s="28"/>
      <c r="N36" s="28"/>
      <c r="O36" s="28"/>
      <c r="P36" s="28"/>
      <c r="Q36" s="28"/>
      <c r="R36" s="14"/>
      <c r="S36" s="14"/>
      <c r="T36" s="14"/>
      <c r="U36" s="237"/>
      <c r="V36" s="262"/>
    </row>
    <row r="37" spans="2:22" ht="22.5" customHeight="1">
      <c r="B37" s="236"/>
      <c r="C37" s="14"/>
      <c r="D37" s="249"/>
      <c r="E37" s="249"/>
      <c r="F37" s="249"/>
      <c r="G37" s="249"/>
      <c r="H37" s="249"/>
      <c r="I37" s="249"/>
      <c r="J37" s="249"/>
      <c r="K37" s="249"/>
      <c r="L37" s="249"/>
      <c r="M37" s="28"/>
      <c r="N37" s="28"/>
      <c r="O37" s="28"/>
      <c r="P37" s="28"/>
      <c r="Q37" s="28"/>
      <c r="R37" s="14"/>
      <c r="S37" s="14"/>
      <c r="T37" s="14"/>
      <c r="U37" s="237"/>
      <c r="V37" s="262"/>
    </row>
    <row r="38" spans="2:22" ht="36" customHeight="1">
      <c r="B38" s="236"/>
      <c r="C38" s="52"/>
      <c r="D38" s="249"/>
      <c r="E38" s="249"/>
      <c r="F38" s="249"/>
      <c r="G38" s="249"/>
      <c r="H38" s="249"/>
      <c r="I38" s="249"/>
      <c r="J38" s="249"/>
      <c r="K38" s="249"/>
      <c r="L38" s="249"/>
      <c r="M38" s="28"/>
      <c r="N38" s="28"/>
      <c r="O38" s="28"/>
      <c r="P38" s="28"/>
      <c r="Q38" s="250" t="s">
        <v>12</v>
      </c>
      <c r="R38" s="14"/>
      <c r="S38" s="14"/>
      <c r="T38" s="14"/>
      <c r="U38" s="237"/>
      <c r="V38" s="262"/>
    </row>
    <row r="39" spans="2:22" ht="22.5" customHeight="1">
      <c r="B39" s="236"/>
      <c r="C39" s="456" t="s">
        <v>34</v>
      </c>
      <c r="D39" s="456"/>
      <c r="E39" s="456"/>
      <c r="F39" s="456"/>
      <c r="G39" s="456"/>
      <c r="H39" s="456"/>
      <c r="I39" s="456"/>
      <c r="J39" s="456"/>
      <c r="K39" s="456"/>
      <c r="L39" s="456"/>
      <c r="M39" s="456"/>
      <c r="N39" s="456"/>
      <c r="O39" s="456"/>
      <c r="P39" s="456"/>
      <c r="Q39" s="456"/>
      <c r="R39" s="456"/>
      <c r="S39" s="456"/>
      <c r="T39" s="456"/>
      <c r="U39" s="240"/>
      <c r="V39" s="262"/>
    </row>
    <row r="40" spans="2:22" ht="18.75" customHeight="1">
      <c r="B40" s="236"/>
      <c r="C40" s="457" t="s">
        <v>35</v>
      </c>
      <c r="D40" s="457"/>
      <c r="E40" s="457"/>
      <c r="F40" s="457"/>
      <c r="G40" s="457"/>
      <c r="H40" s="457"/>
      <c r="I40" s="457"/>
      <c r="J40" s="457"/>
      <c r="K40" s="457"/>
      <c r="L40" s="457"/>
      <c r="M40" s="457"/>
      <c r="N40" s="457"/>
      <c r="O40" s="457"/>
      <c r="P40" s="457"/>
      <c r="Q40" s="457"/>
      <c r="R40" s="457"/>
      <c r="S40" s="457"/>
      <c r="T40" s="457"/>
      <c r="U40" s="458"/>
      <c r="V40" s="262"/>
    </row>
    <row r="41" spans="2:22" ht="18.75" customHeight="1">
      <c r="B41" s="236"/>
      <c r="C41" s="459" t="s">
        <v>36</v>
      </c>
      <c r="D41" s="459"/>
      <c r="E41" s="459"/>
      <c r="F41" s="459"/>
      <c r="G41" s="459"/>
      <c r="H41" s="459"/>
      <c r="I41" s="459"/>
      <c r="J41" s="459"/>
      <c r="K41" s="459"/>
      <c r="L41" s="459"/>
      <c r="M41" s="459"/>
      <c r="N41" s="459"/>
      <c r="O41" s="459"/>
      <c r="P41" s="459"/>
      <c r="Q41" s="459"/>
      <c r="R41" s="459"/>
      <c r="S41" s="459"/>
      <c r="T41" s="459"/>
      <c r="U41" s="460"/>
      <c r="V41" s="262"/>
    </row>
    <row r="42" spans="2:22" ht="18.75" customHeight="1">
      <c r="B42" s="236"/>
      <c r="C42" s="457" t="s">
        <v>95</v>
      </c>
      <c r="D42" s="457"/>
      <c r="E42" s="457"/>
      <c r="F42" s="457"/>
      <c r="G42" s="457"/>
      <c r="H42" s="457"/>
      <c r="I42" s="457"/>
      <c r="J42" s="457"/>
      <c r="K42" s="457"/>
      <c r="L42" s="457"/>
      <c r="M42" s="457"/>
      <c r="N42" s="457"/>
      <c r="O42" s="457"/>
      <c r="P42" s="457"/>
      <c r="Q42" s="457"/>
      <c r="R42" s="457"/>
      <c r="S42" s="457"/>
      <c r="T42" s="457"/>
      <c r="U42" s="458"/>
      <c r="V42" s="262"/>
    </row>
    <row r="43" spans="2:22" ht="17.25" customHeight="1">
      <c r="B43" s="236"/>
      <c r="C43" s="14"/>
      <c r="D43" s="14"/>
      <c r="E43" s="14"/>
      <c r="F43" s="14"/>
      <c r="G43" s="14"/>
      <c r="H43" s="14"/>
      <c r="I43" s="10"/>
      <c r="J43" s="14"/>
      <c r="K43" s="14"/>
      <c r="L43" s="14"/>
      <c r="M43" s="14"/>
      <c r="N43" s="10"/>
      <c r="O43" s="14"/>
      <c r="P43" s="14"/>
      <c r="Q43" s="14"/>
      <c r="R43" s="14"/>
      <c r="S43" s="14"/>
      <c r="T43" s="14"/>
      <c r="U43" s="237"/>
      <c r="V43" s="262"/>
    </row>
    <row r="44" spans="2:22" ht="17.25" customHeight="1">
      <c r="B44" s="236"/>
      <c r="C44" s="14"/>
      <c r="D44" s="14"/>
      <c r="E44" s="14"/>
      <c r="F44" s="14"/>
      <c r="G44" s="14"/>
      <c r="H44" s="14"/>
      <c r="I44" s="10"/>
      <c r="J44" s="14"/>
      <c r="K44" s="14"/>
      <c r="L44" s="14"/>
      <c r="M44" s="14"/>
      <c r="N44" s="10"/>
      <c r="O44" s="14"/>
      <c r="P44" s="14"/>
      <c r="Q44" s="14"/>
      <c r="R44" s="14"/>
      <c r="S44" s="14"/>
      <c r="T44" s="14"/>
      <c r="U44" s="237"/>
      <c r="V44" s="262"/>
    </row>
    <row r="45" spans="2:22" ht="17.25" customHeight="1">
      <c r="B45" s="236"/>
      <c r="C45" s="14"/>
      <c r="D45" s="14"/>
      <c r="E45" s="14"/>
      <c r="F45" s="14"/>
      <c r="G45" s="14"/>
      <c r="H45" s="14"/>
      <c r="I45" s="10"/>
      <c r="J45" s="14"/>
      <c r="K45" s="14"/>
      <c r="L45" s="14"/>
      <c r="M45" s="14"/>
      <c r="N45" s="10"/>
      <c r="O45" s="14"/>
      <c r="P45" s="14"/>
      <c r="Q45" s="14"/>
      <c r="R45" s="14"/>
      <c r="S45" s="14"/>
      <c r="T45" s="14"/>
      <c r="U45" s="237"/>
      <c r="V45" s="262"/>
    </row>
    <row r="46" spans="2:22" ht="17.25" customHeight="1">
      <c r="B46" s="236"/>
      <c r="C46" s="14"/>
      <c r="D46" s="14"/>
      <c r="E46" s="14"/>
      <c r="F46" s="14"/>
      <c r="G46" s="14"/>
      <c r="H46" s="14"/>
      <c r="I46" s="14"/>
      <c r="J46" s="14"/>
      <c r="K46" s="14"/>
      <c r="L46" s="14"/>
      <c r="M46" s="14"/>
      <c r="N46" s="10"/>
      <c r="O46" s="453" t="s">
        <v>37</v>
      </c>
      <c r="P46" s="453"/>
      <c r="Q46" s="453"/>
      <c r="R46" s="453"/>
      <c r="S46" s="453"/>
      <c r="T46" s="453"/>
      <c r="U46" s="237"/>
      <c r="V46" s="262"/>
    </row>
    <row r="47" spans="2:22" ht="21.75" customHeight="1">
      <c r="B47" s="236"/>
      <c r="C47" s="14"/>
      <c r="D47" s="14"/>
      <c r="E47" s="251"/>
      <c r="F47" s="14"/>
      <c r="G47" s="14"/>
      <c r="H47" s="14"/>
      <c r="I47" s="14"/>
      <c r="J47" s="14"/>
      <c r="K47" s="14"/>
      <c r="L47" s="14"/>
      <c r="M47" s="14"/>
      <c r="N47" s="10"/>
      <c r="O47" s="14"/>
      <c r="P47" s="14"/>
      <c r="Q47" s="14"/>
      <c r="R47" s="14"/>
      <c r="S47" s="14"/>
      <c r="T47" s="14"/>
      <c r="U47" s="237"/>
      <c r="V47" s="262"/>
    </row>
    <row r="48" spans="2:22" ht="12.75">
      <c r="B48" s="236"/>
      <c r="C48" s="14"/>
      <c r="D48" s="14"/>
      <c r="E48" s="14"/>
      <c r="F48" s="14"/>
      <c r="G48" s="14"/>
      <c r="H48" s="14"/>
      <c r="I48" s="14"/>
      <c r="J48" s="14"/>
      <c r="K48" s="14"/>
      <c r="L48" s="14"/>
      <c r="M48" s="14"/>
      <c r="N48" s="10"/>
      <c r="O48" s="14"/>
      <c r="P48" s="14"/>
      <c r="Q48" s="14"/>
      <c r="R48" s="14"/>
      <c r="S48" s="14"/>
      <c r="T48" s="14"/>
      <c r="U48" s="237"/>
      <c r="V48" s="262"/>
    </row>
    <row r="49" spans="2:22" ht="13.5" thickBot="1">
      <c r="B49" s="252"/>
      <c r="C49" s="253"/>
      <c r="D49" s="253"/>
      <c r="E49" s="253"/>
      <c r="F49" s="253"/>
      <c r="G49" s="253"/>
      <c r="H49" s="253"/>
      <c r="I49" s="253"/>
      <c r="J49" s="253"/>
      <c r="K49" s="253"/>
      <c r="L49" s="253"/>
      <c r="M49" s="253"/>
      <c r="N49" s="254"/>
      <c r="O49" s="253"/>
      <c r="P49" s="253"/>
      <c r="Q49" s="253"/>
      <c r="R49" s="253"/>
      <c r="S49" s="253"/>
      <c r="T49" s="253"/>
      <c r="U49" s="255"/>
      <c r="V49" s="262"/>
    </row>
    <row r="50" spans="14:23" s="262" customFormat="1" ht="21.75" customHeight="1">
      <c r="N50" s="263"/>
      <c r="W50" s="366"/>
    </row>
    <row r="51" ht="12.75" hidden="1"/>
    <row r="52" ht="12.75" hidden="1"/>
    <row r="53" ht="12.75" hidden="1"/>
    <row r="54" ht="12.75" hidden="1"/>
    <row r="55" ht="12.75" hidden="1"/>
    <row r="56" ht="12.75" hidden="1">
      <c r="Z56" s="60" t="str">
        <f>Z9</f>
        <v>03010402001</v>
      </c>
    </row>
    <row r="57" ht="12.75" hidden="1">
      <c r="Y57" s="1" t="str">
        <f>LEFT(Z56,4)</f>
        <v>0301</v>
      </c>
    </row>
    <row r="58" spans="25:29" ht="12.75" hidden="1">
      <c r="Y58" s="1" t="str">
        <f>LEFT(Y57,1)</f>
        <v>0</v>
      </c>
      <c r="Z58" s="1" t="str">
        <f>RIGHT(LEFT(Y57,2),1)</f>
        <v>3</v>
      </c>
      <c r="AA58" s="1" t="str">
        <f>LEFT(RIGHT(Y57,2),1)</f>
        <v>0</v>
      </c>
      <c r="AB58" s="1" t="str">
        <f>RIGHT(RIGHT(Y57,2),1)</f>
        <v>1</v>
      </c>
      <c r="AC58" s="1">
        <f>RIGHT(RIGHT(Z57,2),1)</f>
      </c>
    </row>
    <row r="59" ht="12.75" hidden="1">
      <c r="Z59" s="1">
        <v>2406010010003010</v>
      </c>
    </row>
    <row r="60" ht="12.75" hidden="1"/>
    <row r="61" ht="12.75" hidden="1">
      <c r="Z61" s="1" t="str">
        <f>LEFT(Z59,6)</f>
        <v>240601</v>
      </c>
    </row>
    <row r="62" ht="12.75" hidden="1"/>
    <row r="63" spans="25:27" ht="12.75" hidden="1">
      <c r="Y63" s="1" t="str">
        <f>LEFT(Z61,4)</f>
        <v>2406</v>
      </c>
      <c r="Z63" s="1" t="str">
        <f>LEFT(Z61,3)</f>
        <v>240</v>
      </c>
      <c r="AA63" s="1" t="str">
        <f>RIGHT(Z61,3)</f>
        <v>601</v>
      </c>
    </row>
    <row r="64" ht="12.75" hidden="1"/>
    <row r="65" spans="25:27" ht="12.75" hidden="1">
      <c r="Y65" s="1" t="str">
        <f>LEFT(Y63,1)</f>
        <v>2</v>
      </c>
      <c r="Z65" s="1" t="str">
        <f>LEFT(RIGHT(Z63,2),1)</f>
        <v>4</v>
      </c>
      <c r="AA65" s="1">
        <f>RIGHT(AA63,1)*1</f>
        <v>1</v>
      </c>
    </row>
    <row r="66" spans="28:29" ht="12.75" hidden="1">
      <c r="AB66" s="61" t="s">
        <v>158</v>
      </c>
      <c r="AC66" s="61" t="s">
        <v>158</v>
      </c>
    </row>
    <row r="67" ht="12.75" hidden="1">
      <c r="Z67" s="1" t="str">
        <f>LEFT(Z61,4)</f>
        <v>2406</v>
      </c>
    </row>
    <row r="68" ht="12.75" hidden="1"/>
    <row r="69" spans="25:28" ht="12.75" hidden="1">
      <c r="Y69" s="1" t="str">
        <f>LEFT(RIGHT(Z67,4),1)</f>
        <v>2</v>
      </c>
      <c r="Z69" s="1" t="str">
        <f>LEFT(RIGHT(Z67,3),1)</f>
        <v>4</v>
      </c>
      <c r="AA69" s="1" t="str">
        <f>LEFT(RIGHT(Z67,2),1)</f>
        <v>0</v>
      </c>
      <c r="AB69" s="1" t="str">
        <f>RIGHT(RIGHT(Z67,2),1)</f>
        <v>6</v>
      </c>
    </row>
    <row r="70" ht="12.75" hidden="1"/>
    <row r="71" ht="12.75" hidden="1"/>
    <row r="72" ht="12.75" hidden="1"/>
    <row r="73" ht="12.75" hidden="1"/>
    <row r="74" ht="12.75" hidden="1"/>
    <row r="75" ht="12.75" hidden="1"/>
    <row r="76" ht="12.75" hidden="1"/>
    <row r="77" spans="25:61" ht="12.75" hidden="1">
      <c r="Y77" s="194">
        <f>G32</f>
        <v>30000</v>
      </c>
      <c r="Z77" s="62">
        <f>(Y77-Y80)/1000</f>
        <v>30</v>
      </c>
      <c r="AA77" s="62"/>
      <c r="AB77" s="62"/>
      <c r="AC77" s="62"/>
      <c r="AD77" s="62"/>
      <c r="AE77" s="62"/>
      <c r="AF77" s="62"/>
      <c r="AG77" s="62"/>
      <c r="AH77" s="62"/>
      <c r="AI77" s="62"/>
      <c r="AJ77" s="62"/>
      <c r="AK77" s="62"/>
      <c r="AL77" s="62">
        <v>1</v>
      </c>
      <c r="AM77" s="62" t="s">
        <v>38</v>
      </c>
      <c r="AN77" s="62"/>
      <c r="AO77" s="29"/>
      <c r="AP77" s="62"/>
      <c r="AQ77" s="62"/>
      <c r="AR77" s="62"/>
      <c r="AS77" s="62"/>
      <c r="AT77" s="62"/>
      <c r="AU77" s="62"/>
      <c r="AV77" s="62"/>
      <c r="AW77" s="62"/>
      <c r="AX77" s="62"/>
      <c r="AY77" s="62"/>
      <c r="AZ77" s="62"/>
      <c r="BA77" s="62"/>
      <c r="BB77" s="62"/>
      <c r="BC77" s="62"/>
      <c r="BD77" s="62"/>
      <c r="BE77" s="62"/>
      <c r="BF77" s="62"/>
      <c r="BG77" s="62"/>
      <c r="BH77" s="62"/>
      <c r="BI77" s="62"/>
    </row>
    <row r="78" spans="25:61" ht="12.75" hidden="1">
      <c r="Y78" s="62">
        <f>(Z77-Y79)/100</f>
        <v>0</v>
      </c>
      <c r="Z78" s="62">
        <f>Y78</f>
        <v>0</v>
      </c>
      <c r="AA78" s="62">
        <f>RIGHT(Z78,2)*1</f>
        <v>0</v>
      </c>
      <c r="AB78" s="62">
        <f>(Z78-AA78)/100</f>
        <v>0</v>
      </c>
      <c r="AC78" s="62">
        <f>(AA78-RIGHT(AA78,1)*1)/10</f>
        <v>0</v>
      </c>
      <c r="AD78" s="62">
        <f>RIGHT(Z78,1)*1</f>
        <v>0</v>
      </c>
      <c r="AE78" s="62" t="str">
        <f>IF(AC78=AL78,AN78,IF(AC78=AL79,AN79,IF(AC78=AL80,AN80,IF(AC78=AL81,AN81,IF(AC78=AL82,AN82,IF(AC78=AL83,AN83,IF(AC78=AL84,AN84,IF(AC78=AL85,AN85," "))))))))</f>
        <v> </v>
      </c>
      <c r="AF78" s="62" t="str">
        <f>IF(AC78=1," ",IF(AD78=AL77,AM77,IF(AD78=AL78,AM78,IF(AD78=AL79,AM79,IF(AD78=AL80,AM80,IF(AD78=AL81,AM81,IF(AD78=AL82,AM82," ")))))))</f>
        <v> </v>
      </c>
      <c r="AG78" s="62" t="str">
        <f>IF(AC78=1," ",IF(AD78=AL83,AM83,IF(AD78=AL84,AM84,IF(AD78=AL85,AM85," "))))</f>
        <v> </v>
      </c>
      <c r="AH78" s="62" t="str">
        <f>IF(AC78=0," ",IF(AC78&gt;1," ",IF(AD78=AL78,AM88,IF(AD78=AL79,AM89,IF(AD78=AL80,AM90,IF(AD78=AL81,AM91,IF(AD78=AL82,AM92,IF(AD78=AL83,AM93," "))))))))</f>
        <v> </v>
      </c>
      <c r="AI78" s="62" t="str">
        <f>IF(AC78=0," ",IF(AC78&gt;1," ",IF(AD78=AL84,AM94,IF(AD78=AL85,AM95,IF(AD78=AL77,AM87,IF(AD78=0,AM86," "))))))</f>
        <v> </v>
      </c>
      <c r="AJ78" s="62" t="str">
        <f>IF(AC78=0," ","lakh")</f>
        <v> </v>
      </c>
      <c r="AK78" s="62" t="str">
        <f>IF(AD78=0," ",IF(AC78&gt;0," ","lakh"))</f>
        <v> </v>
      </c>
      <c r="AL78" s="62">
        <v>2</v>
      </c>
      <c r="AM78" s="62" t="s">
        <v>39</v>
      </c>
      <c r="AN78" s="62" t="s">
        <v>40</v>
      </c>
      <c r="AO78" s="29"/>
      <c r="AP78" s="62"/>
      <c r="AQ78" s="62"/>
      <c r="AR78" s="62"/>
      <c r="AS78" s="62"/>
      <c r="AT78" s="62"/>
      <c r="AU78" s="62"/>
      <c r="AV78" s="62"/>
      <c r="AW78" s="62"/>
      <c r="AX78" s="62"/>
      <c r="AY78" s="62"/>
      <c r="AZ78" s="62"/>
      <c r="BA78" s="62"/>
      <c r="BB78" s="62"/>
      <c r="BC78" s="62"/>
      <c r="BD78" s="62"/>
      <c r="BE78" s="62"/>
      <c r="BF78" s="62"/>
      <c r="BG78" s="62"/>
      <c r="BH78" s="62"/>
      <c r="BI78" s="62"/>
    </row>
    <row r="79" spans="25:61" ht="12.75" hidden="1">
      <c r="Y79" s="62">
        <f>RIGHT(Z77,2)*1</f>
        <v>30</v>
      </c>
      <c r="Z79" s="62">
        <f>Y79</f>
        <v>30</v>
      </c>
      <c r="AA79" s="62">
        <f>RIGHT(Z79,2)*1</f>
        <v>30</v>
      </c>
      <c r="AB79" s="62">
        <f>(Z79-AA79)/100</f>
        <v>0</v>
      </c>
      <c r="AC79" s="62">
        <f>(AA79-RIGHT(AA79,1)*1)/10</f>
        <v>3</v>
      </c>
      <c r="AD79" s="62">
        <f>RIGHT(Z79,1)*1</f>
        <v>0</v>
      </c>
      <c r="AE79" s="62" t="str">
        <f>IF(AC79=AL78,AN78,IF(AC79=AL79,AN79,IF(AC79=AL80,AN80,IF(AC79=AL81,AN81,IF(AC79=AL82,AN82,IF(AC79=AL83,AN83,IF(AC79=AL84,AN84,IF(AC79=AL85,AN85," "))))))))</f>
        <v>Thirty </v>
      </c>
      <c r="AF79" s="62" t="str">
        <f>IF(AC79=1," ",IF(AD79=AL77,AM77,IF(AD79=AL78,AM78,IF(AD79=AL79,AM79,IF(AD79=AL80,AM80,IF(AD79=AL81,AM81,IF(AD79=AL82,AM82," ")))))))</f>
        <v> </v>
      </c>
      <c r="AG79" s="62" t="str">
        <f>IF(AC79=1," ",IF(AD79=AL83,AM83,IF(AD79=AL84,AM84,IF(AD79=AL85,AM85," "))))</f>
        <v> </v>
      </c>
      <c r="AH79" s="62" t="str">
        <f>IF(AC79=0," ",IF(AC79&gt;1," ",IF(AD79=AL78,AM88,IF(AD79=AL79,AM89,IF(AD79=AL80,AM90,IF(AD79=AL81,AM91,IF(AD79=AL82,AM92,IF(AD79=AL83,AM93," "))))))))</f>
        <v> </v>
      </c>
      <c r="AI79" s="62" t="str">
        <f>IF(AC79=0," ",IF(AC79&gt;1," ",IF(AD79=AL84,AM94,IF(AD79=AL85,AM95,IF(AD79=AL77,AM87,IF(AD79=0,AM86," "))))))</f>
        <v> </v>
      </c>
      <c r="AJ79" s="62" t="str">
        <f>IF(AC79=0," ","thousand")</f>
        <v>thousand</v>
      </c>
      <c r="AK79" s="62" t="str">
        <f>IF(AD79=0," ",IF(AC79&gt;0," ","thousand"))</f>
        <v> </v>
      </c>
      <c r="AL79" s="62">
        <v>3</v>
      </c>
      <c r="AM79" s="62" t="s">
        <v>41</v>
      </c>
      <c r="AN79" s="62" t="s">
        <v>42</v>
      </c>
      <c r="AO79" s="29"/>
      <c r="AP79" s="62"/>
      <c r="AQ79" s="62"/>
      <c r="AR79" s="62"/>
      <c r="AS79" s="62"/>
      <c r="AT79" s="62"/>
      <c r="AU79" s="62"/>
      <c r="AV79" s="62"/>
      <c r="AW79" s="62"/>
      <c r="AX79" s="62"/>
      <c r="AY79" s="62"/>
      <c r="AZ79" s="62"/>
      <c r="BA79" s="62"/>
      <c r="BB79" s="62"/>
      <c r="BC79" s="62"/>
      <c r="BD79" s="62"/>
      <c r="BE79" s="62"/>
      <c r="BF79" s="62"/>
      <c r="BG79" s="62"/>
      <c r="BH79" s="62"/>
      <c r="BI79" s="62"/>
    </row>
    <row r="80" spans="25:61" ht="12.75" hidden="1">
      <c r="Y80" s="62">
        <f>RIGHT(Y77,3)*1</f>
        <v>0</v>
      </c>
      <c r="Z80" s="62">
        <f>Y80</f>
        <v>0</v>
      </c>
      <c r="AA80" s="62">
        <f>ROUND((Z80-AB81)/100,0)</f>
        <v>0</v>
      </c>
      <c r="AB80" s="62"/>
      <c r="AC80" s="62"/>
      <c r="AD80" s="62"/>
      <c r="AE80" s="62"/>
      <c r="AF80" s="62" t="str">
        <f>IF(AA80=0," ",IF(AA80=AL77,AM77,IF(AA80=AL78,AM78,IF(AA80=AL79,AM79,IF(AA80=AL80,AM80,IF(AA80=AL81,AM81,IF(AA80=AL82,AM82," ")))))))</f>
        <v> </v>
      </c>
      <c r="AG80" s="62" t="str">
        <f>IF(AA80=0," ",IF(AA80=AL83,AM83,IF(AA80=AL84,AM84,IF(AA80=AL85,AM85," "))))</f>
        <v> </v>
      </c>
      <c r="AH80" s="62"/>
      <c r="AI80" s="62"/>
      <c r="AJ80" s="62" t="str">
        <f>IF(AA80=0," ","hundred")</f>
        <v> </v>
      </c>
      <c r="AK80" s="62"/>
      <c r="AL80" s="62">
        <v>4</v>
      </c>
      <c r="AM80" s="62" t="s">
        <v>43</v>
      </c>
      <c r="AN80" s="62" t="s">
        <v>44</v>
      </c>
      <c r="AO80" s="29"/>
      <c r="AP80" s="62"/>
      <c r="AQ80" s="62"/>
      <c r="AR80" s="62"/>
      <c r="AS80" s="62"/>
      <c r="AT80" s="62"/>
      <c r="AU80" s="62"/>
      <c r="AV80" s="62"/>
      <c r="AW80" s="62"/>
      <c r="AX80" s="62"/>
      <c r="AY80" s="62"/>
      <c r="AZ80" s="62"/>
      <c r="BA80" s="62"/>
      <c r="BB80" s="62"/>
      <c r="BC80" s="62"/>
      <c r="BD80" s="62"/>
      <c r="BE80" s="62"/>
      <c r="BF80" s="62"/>
      <c r="BG80" s="62"/>
      <c r="BH80" s="62"/>
      <c r="BI80" s="62"/>
    </row>
    <row r="81" spans="18:61" ht="12.75" hidden="1">
      <c r="R81" s="29"/>
      <c r="S81" s="29"/>
      <c r="T81" s="29"/>
      <c r="U81" s="29"/>
      <c r="Y81" s="62"/>
      <c r="Z81" s="62"/>
      <c r="AA81" s="62"/>
      <c r="AB81" s="62">
        <f>RIGHT(Z80,2)*1</f>
        <v>0</v>
      </c>
      <c r="AC81" s="62">
        <f>(AB81-RIGHT(AB81,1)*1)/10</f>
        <v>0</v>
      </c>
      <c r="AD81" s="62">
        <f>RIGHT(Z80,1)*1</f>
        <v>0</v>
      </c>
      <c r="AE81" s="62" t="str">
        <f>IF(AC81=AL78,AN78,IF(AC81=AL79,AN79,IF(AC81=AL80,AN80,IF(AC81=AL81,AN81,IF(AC81=AL82,AN82,IF(AC81=AL83,AN83,IF(AC81=AL84,AN84,IF(AC81=AL85,AN85," "))))))))</f>
        <v> </v>
      </c>
      <c r="AF81" s="62" t="str">
        <f>IF(AC81=1," ",IF(AD81=AL77,AM77,IF(AD81=AL78,AM78,IF(AD81=AL79,AM79,IF(AD81=AL80,AM80,IF(AD81=AL81,AM81,IF(AD81=AL82,AM82," ")))))))</f>
        <v> </v>
      </c>
      <c r="AG81" s="62" t="str">
        <f>IF(AC81=1," ",IF(AD81=AL83,AM83,IF(AD81=AL84,AM84,IF(AD81=AL85,AM85," "))))</f>
        <v> </v>
      </c>
      <c r="AH81" s="62" t="str">
        <f>IF(AC81=0," ",IF(AC81&gt;1," ",IF(AD81=AL78,AM88,IF(AD81=AL79,AM89,IF(AD81=AL80,AM90,IF(AD81=AL81,AM91,IF(AD81=AL82,AM92,IF(AD81=AL83,AM93," "))))))))</f>
        <v> </v>
      </c>
      <c r="AI81" s="62" t="str">
        <f>IF(AC81=0," ",IF(AC81&gt;1," ",IF(AD81=AL84,AM94,IF(AD81=AL85,AM95,IF(AD81=AL77,AM87,IF(AD81=0,AM86," "))))))</f>
        <v> </v>
      </c>
      <c r="AJ81" s="62"/>
      <c r="AK81" s="62"/>
      <c r="AL81" s="62">
        <v>5</v>
      </c>
      <c r="AM81" s="62" t="s">
        <v>45</v>
      </c>
      <c r="AN81" s="62" t="s">
        <v>46</v>
      </c>
      <c r="AO81" s="29"/>
      <c r="AP81" s="62"/>
      <c r="AQ81" s="62"/>
      <c r="AR81" s="62"/>
      <c r="AS81" s="62"/>
      <c r="AT81" s="62"/>
      <c r="AU81" s="62"/>
      <c r="AV81" s="62"/>
      <c r="AW81" s="62"/>
      <c r="AX81" s="62"/>
      <c r="AY81" s="62"/>
      <c r="AZ81" s="62"/>
      <c r="BA81" s="62"/>
      <c r="BB81" s="62"/>
      <c r="BC81" s="62"/>
      <c r="BD81" s="62"/>
      <c r="BE81" s="62"/>
      <c r="BF81" s="62"/>
      <c r="BG81" s="62"/>
      <c r="BH81" s="62"/>
      <c r="BI81" s="62"/>
    </row>
    <row r="82" spans="18:61" ht="12.75" hidden="1">
      <c r="R82" s="29"/>
      <c r="S82" s="29"/>
      <c r="T82" s="29"/>
      <c r="U82" s="29"/>
      <c r="Y82" s="62"/>
      <c r="Z82" s="62"/>
      <c r="AA82" s="62"/>
      <c r="AB82" s="62"/>
      <c r="AC82" s="62">
        <f>AC81</f>
        <v>0</v>
      </c>
      <c r="AD82" s="62">
        <f>AD81</f>
        <v>0</v>
      </c>
      <c r="AE82" s="62"/>
      <c r="AF82" s="62"/>
      <c r="AG82" s="62"/>
      <c r="AH82" s="62"/>
      <c r="AI82" s="62"/>
      <c r="AJ82" s="62"/>
      <c r="AK82" s="62"/>
      <c r="AL82" s="62">
        <v>6</v>
      </c>
      <c r="AM82" s="62" t="s">
        <v>47</v>
      </c>
      <c r="AN82" s="62" t="s">
        <v>48</v>
      </c>
      <c r="AO82" s="29"/>
      <c r="AP82" s="62"/>
      <c r="AQ82" s="62"/>
      <c r="AR82" s="62"/>
      <c r="AS82" s="62"/>
      <c r="AT82" s="62"/>
      <c r="AU82" s="62"/>
      <c r="AV82" s="62"/>
      <c r="AW82" s="62"/>
      <c r="AX82" s="62"/>
      <c r="AY82" s="62"/>
      <c r="AZ82" s="62"/>
      <c r="BA82" s="62"/>
      <c r="BB82" s="62"/>
      <c r="BC82" s="62"/>
      <c r="BD82" s="62"/>
      <c r="BE82" s="62"/>
      <c r="BF82" s="62"/>
      <c r="BG82" s="62"/>
      <c r="BH82" s="62"/>
      <c r="BI82" s="62"/>
    </row>
    <row r="83" spans="18:61" ht="12.75" hidden="1">
      <c r="R83" s="29"/>
      <c r="S83" s="29"/>
      <c r="T83" s="29"/>
      <c r="U83" s="29"/>
      <c r="Y83" s="62"/>
      <c r="Z83" s="62"/>
      <c r="AA83" s="62"/>
      <c r="AB83" s="62"/>
      <c r="AC83" s="62"/>
      <c r="AD83" s="62"/>
      <c r="AE83" s="62"/>
      <c r="AF83" s="62"/>
      <c r="AG83" s="62"/>
      <c r="AH83" s="62"/>
      <c r="AI83" s="62"/>
      <c r="AJ83" s="62"/>
      <c r="AK83" s="62"/>
      <c r="AL83" s="62">
        <v>7</v>
      </c>
      <c r="AM83" s="62" t="s">
        <v>49</v>
      </c>
      <c r="AN83" s="62" t="s">
        <v>50</v>
      </c>
      <c r="AO83" s="29"/>
      <c r="AP83" s="62"/>
      <c r="AQ83" s="62"/>
      <c r="AR83" s="62"/>
      <c r="AS83" s="62"/>
      <c r="AT83" s="62"/>
      <c r="AU83" s="62"/>
      <c r="AV83" s="62"/>
      <c r="AW83" s="62"/>
      <c r="AX83" s="62"/>
      <c r="AY83" s="62"/>
      <c r="AZ83" s="62"/>
      <c r="BA83" s="62"/>
      <c r="BB83" s="62"/>
      <c r="BC83" s="62"/>
      <c r="BD83" s="62"/>
      <c r="BE83" s="62"/>
      <c r="BF83" s="62"/>
      <c r="BG83" s="62"/>
      <c r="BH83" s="62"/>
      <c r="BI83" s="62"/>
    </row>
    <row r="84" spans="18:61" ht="12.75" hidden="1">
      <c r="R84" s="29"/>
      <c r="S84" s="29"/>
      <c r="T84" s="29"/>
      <c r="U84" s="29"/>
      <c r="Y84" s="62"/>
      <c r="Z84" s="62"/>
      <c r="AA84" s="62"/>
      <c r="AB84" s="62"/>
      <c r="AC84" s="62"/>
      <c r="AD84" s="62"/>
      <c r="AE84" s="62"/>
      <c r="AF84" s="62"/>
      <c r="AG84" s="62"/>
      <c r="AH84" s="62"/>
      <c r="AI84" s="62"/>
      <c r="AJ84" s="62"/>
      <c r="AK84" s="62"/>
      <c r="AL84" s="62">
        <v>8</v>
      </c>
      <c r="AM84" s="62" t="s">
        <v>51</v>
      </c>
      <c r="AN84" s="62" t="s">
        <v>52</v>
      </c>
      <c r="AO84" s="29"/>
      <c r="AP84" s="62"/>
      <c r="AQ84" s="62"/>
      <c r="AR84" s="62"/>
      <c r="AS84" s="62"/>
      <c r="AT84" s="62"/>
      <c r="AU84" s="62"/>
      <c r="AV84" s="62"/>
      <c r="AW84" s="62"/>
      <c r="AX84" s="62"/>
      <c r="AY84" s="62"/>
      <c r="AZ84" s="62"/>
      <c r="BA84" s="62"/>
      <c r="BB84" s="62"/>
      <c r="BC84" s="62"/>
      <c r="BD84" s="62"/>
      <c r="BE84" s="62"/>
      <c r="BF84" s="62"/>
      <c r="BG84" s="62"/>
      <c r="BH84" s="62"/>
      <c r="BI84" s="62"/>
    </row>
    <row r="85" spans="18:61" ht="12.75" hidden="1">
      <c r="R85" s="29"/>
      <c r="S85" s="29"/>
      <c r="T85" s="29"/>
      <c r="U85" s="29"/>
      <c r="Y85" s="62">
        <f>TRIM(AE78&amp;" "&amp;AF78&amp;" "&amp;AG78&amp;" "&amp;AH78&amp;" "&amp;AI78&amp;" "&amp;AJ78&amp;" "&amp;AK78)</f>
      </c>
      <c r="Z85" s="62"/>
      <c r="AA85" s="62"/>
      <c r="AB85" s="62"/>
      <c r="AC85" s="62"/>
      <c r="AD85" s="62"/>
      <c r="AE85" s="62"/>
      <c r="AF85" s="62"/>
      <c r="AG85" s="62"/>
      <c r="AH85" s="62"/>
      <c r="AI85" s="62"/>
      <c r="AJ85" s="62"/>
      <c r="AK85" s="62"/>
      <c r="AL85" s="62">
        <v>9</v>
      </c>
      <c r="AM85" s="62" t="s">
        <v>53</v>
      </c>
      <c r="AN85" s="62" t="s">
        <v>54</v>
      </c>
      <c r="AO85" s="29"/>
      <c r="AP85" s="62"/>
      <c r="AQ85" s="62"/>
      <c r="AR85" s="62"/>
      <c r="AS85" s="62"/>
      <c r="AT85" s="62"/>
      <c r="AU85" s="62"/>
      <c r="AV85" s="62"/>
      <c r="AW85" s="62"/>
      <c r="AX85" s="62"/>
      <c r="AY85" s="62"/>
      <c r="AZ85" s="62"/>
      <c r="BA85" s="62"/>
      <c r="BB85" s="62"/>
      <c r="BC85" s="62"/>
      <c r="BD85" s="62"/>
      <c r="BE85" s="62"/>
      <c r="BF85" s="62"/>
      <c r="BG85" s="62"/>
      <c r="BH85" s="62"/>
      <c r="BI85" s="62"/>
    </row>
    <row r="86" spans="18:61" ht="12.75" hidden="1">
      <c r="R86" s="29"/>
      <c r="S86" s="29"/>
      <c r="T86" s="29"/>
      <c r="U86" s="29"/>
      <c r="Y86" s="62" t="str">
        <f>TRIM(AE79&amp;" "&amp;AF79&amp;" "&amp;AG79&amp;" "&amp;AH79&amp;" "&amp;AI79&amp;" "&amp;AJ79&amp;" "&amp;AK79)</f>
        <v>Thirty thousand</v>
      </c>
      <c r="Z86" s="62"/>
      <c r="AA86" s="62"/>
      <c r="AB86" s="62"/>
      <c r="AC86" s="62"/>
      <c r="AD86" s="62"/>
      <c r="AE86" s="62"/>
      <c r="AF86" s="62"/>
      <c r="AG86" s="62"/>
      <c r="AH86" s="62"/>
      <c r="AI86" s="62"/>
      <c r="AJ86" s="62"/>
      <c r="AK86" s="62"/>
      <c r="AL86" s="62">
        <v>10</v>
      </c>
      <c r="AM86" s="62" t="s">
        <v>55</v>
      </c>
      <c r="AN86" s="62"/>
      <c r="AO86" s="29"/>
      <c r="AP86" s="62"/>
      <c r="AQ86" s="62"/>
      <c r="AR86" s="62"/>
      <c r="AS86" s="62"/>
      <c r="AT86" s="62"/>
      <c r="AU86" s="62"/>
      <c r="AV86" s="62"/>
      <c r="AW86" s="62"/>
      <c r="AX86" s="62"/>
      <c r="AY86" s="62"/>
      <c r="AZ86" s="62"/>
      <c r="BA86" s="62"/>
      <c r="BB86" s="62"/>
      <c r="BC86" s="62"/>
      <c r="BD86" s="62"/>
      <c r="BE86" s="62"/>
      <c r="BF86" s="62"/>
      <c r="BG86" s="62"/>
      <c r="BH86" s="62"/>
      <c r="BI86" s="62"/>
    </row>
    <row r="87" spans="18:61" ht="12.75" hidden="1">
      <c r="R87" s="29"/>
      <c r="S87" s="29"/>
      <c r="T87" s="29"/>
      <c r="U87" s="29"/>
      <c r="Y87" s="62">
        <f>TRIM(AE80&amp;" "&amp;AF80&amp;" "&amp;AG80&amp;" "&amp;AH80&amp;" "&amp;AI80&amp;" "&amp;AJ80&amp;" "&amp;AK80)</f>
      </c>
      <c r="Z87" s="62"/>
      <c r="AA87" s="62"/>
      <c r="AB87" s="62"/>
      <c r="AC87" s="62"/>
      <c r="AD87" s="62"/>
      <c r="AE87" s="62"/>
      <c r="AF87" s="62"/>
      <c r="AG87" s="62"/>
      <c r="AH87" s="62"/>
      <c r="AI87" s="62"/>
      <c r="AJ87" s="62"/>
      <c r="AK87" s="62"/>
      <c r="AL87" s="62">
        <v>11</v>
      </c>
      <c r="AM87" s="62" t="s">
        <v>56</v>
      </c>
      <c r="AN87" s="62"/>
      <c r="AO87" s="29"/>
      <c r="AP87" s="62"/>
      <c r="AQ87" s="62"/>
      <c r="AR87" s="62"/>
      <c r="AS87" s="62"/>
      <c r="AT87" s="62"/>
      <c r="AU87" s="62"/>
      <c r="AV87" s="62"/>
      <c r="AW87" s="62"/>
      <c r="AX87" s="62"/>
      <c r="AY87" s="62"/>
      <c r="AZ87" s="62"/>
      <c r="BA87" s="62"/>
      <c r="BB87" s="62"/>
      <c r="BC87" s="62"/>
      <c r="BD87" s="62"/>
      <c r="BE87" s="62"/>
      <c r="BF87" s="62"/>
      <c r="BG87" s="62"/>
      <c r="BH87" s="62"/>
      <c r="BI87" s="62"/>
    </row>
    <row r="88" spans="18:61" ht="12.75" hidden="1">
      <c r="R88" s="29"/>
      <c r="S88" s="29"/>
      <c r="T88" s="29"/>
      <c r="U88" s="29"/>
      <c r="Y88" s="62">
        <f>TRIM(AE81&amp;" "&amp;AF81&amp;" "&amp;AG81&amp;" "&amp;AH81&amp;" "&amp;AI81)</f>
      </c>
      <c r="Z88" s="62"/>
      <c r="AA88" s="62"/>
      <c r="AB88" s="62"/>
      <c r="AC88" s="62"/>
      <c r="AD88" s="62"/>
      <c r="AE88" s="62"/>
      <c r="AF88" s="62"/>
      <c r="AG88" s="62"/>
      <c r="AH88" s="62"/>
      <c r="AI88" s="62"/>
      <c r="AJ88" s="62"/>
      <c r="AK88" s="62"/>
      <c r="AL88" s="62">
        <v>12</v>
      </c>
      <c r="AM88" s="62" t="s">
        <v>57</v>
      </c>
      <c r="AN88" s="62"/>
      <c r="AO88" s="29"/>
      <c r="AP88" s="62"/>
      <c r="AQ88" s="62"/>
      <c r="AR88" s="62"/>
      <c r="AS88" s="62"/>
      <c r="AT88" s="62"/>
      <c r="AU88" s="62"/>
      <c r="AV88" s="62"/>
      <c r="AW88" s="62"/>
      <c r="AX88" s="62"/>
      <c r="AY88" s="62"/>
      <c r="AZ88" s="62"/>
      <c r="BA88" s="62"/>
      <c r="BB88" s="62"/>
      <c r="BC88" s="62"/>
      <c r="BD88" s="62"/>
      <c r="BE88" s="62"/>
      <c r="BF88" s="62"/>
      <c r="BG88" s="62"/>
      <c r="BH88" s="62"/>
      <c r="BI88" s="62"/>
    </row>
    <row r="89" spans="18:61" ht="12.75" hidden="1">
      <c r="R89" s="29"/>
      <c r="S89" s="29"/>
      <c r="T89" s="29"/>
      <c r="U89" s="29"/>
      <c r="Y89" s="62" t="str">
        <f>IF(Y77&gt;0,TRIM(Y85&amp;" "&amp;Y86&amp;" "&amp;Y87&amp;" "&amp;Y88)&amp;" Rupees only","Zero only")</f>
        <v>Thirty thousand Rupees only</v>
      </c>
      <c r="Z89" s="62"/>
      <c r="AA89" s="62"/>
      <c r="AB89" s="62"/>
      <c r="AC89" s="62"/>
      <c r="AD89" s="62"/>
      <c r="AE89" s="62"/>
      <c r="AF89" s="62"/>
      <c r="AG89" s="62"/>
      <c r="AH89" s="62"/>
      <c r="AI89" s="62"/>
      <c r="AJ89" s="62"/>
      <c r="AK89" s="62"/>
      <c r="AL89" s="62">
        <v>13</v>
      </c>
      <c r="AM89" s="62" t="s">
        <v>58</v>
      </c>
      <c r="AN89" s="62"/>
      <c r="AO89" s="29"/>
      <c r="AP89" s="62"/>
      <c r="AQ89" s="62"/>
      <c r="AR89" s="62"/>
      <c r="AS89" s="62"/>
      <c r="AT89" s="62"/>
      <c r="AU89" s="62"/>
      <c r="AV89" s="62"/>
      <c r="AW89" s="62"/>
      <c r="AX89" s="62"/>
      <c r="AY89" s="62"/>
      <c r="AZ89" s="62"/>
      <c r="BA89" s="62"/>
      <c r="BB89" s="62"/>
      <c r="BC89" s="62"/>
      <c r="BD89" s="62"/>
      <c r="BE89" s="62"/>
      <c r="BF89" s="62"/>
      <c r="BG89" s="62"/>
      <c r="BH89" s="62"/>
      <c r="BI89" s="62"/>
    </row>
    <row r="90" spans="18:61" ht="12.75" hidden="1">
      <c r="R90" s="29"/>
      <c r="S90" s="29"/>
      <c r="T90" s="29"/>
      <c r="U90" s="29"/>
      <c r="Y90" s="62"/>
      <c r="Z90" s="62"/>
      <c r="AA90" s="62"/>
      <c r="AB90" s="62"/>
      <c r="AC90" s="62"/>
      <c r="AD90" s="62"/>
      <c r="AE90" s="62"/>
      <c r="AF90" s="62"/>
      <c r="AG90" s="62"/>
      <c r="AH90" s="62"/>
      <c r="AI90" s="62"/>
      <c r="AJ90" s="62"/>
      <c r="AK90" s="62"/>
      <c r="AL90" s="62">
        <v>14</v>
      </c>
      <c r="AM90" s="62" t="s">
        <v>59</v>
      </c>
      <c r="AN90" s="62"/>
      <c r="AO90" s="29"/>
      <c r="AP90" s="62"/>
      <c r="AQ90" s="62"/>
      <c r="AR90" s="62"/>
      <c r="AS90" s="62"/>
      <c r="AT90" s="62"/>
      <c r="AU90" s="62"/>
      <c r="AV90" s="62"/>
      <c r="AW90" s="62"/>
      <c r="AX90" s="62"/>
      <c r="AY90" s="62"/>
      <c r="AZ90" s="62"/>
      <c r="BA90" s="62"/>
      <c r="BB90" s="62"/>
      <c r="BC90" s="62"/>
      <c r="BD90" s="62"/>
      <c r="BE90" s="62"/>
      <c r="BF90" s="62"/>
      <c r="BG90" s="62"/>
      <c r="BH90" s="62"/>
      <c r="BI90" s="62"/>
    </row>
    <row r="91" spans="18:61" ht="12.75" hidden="1">
      <c r="R91" s="29"/>
      <c r="S91" s="29"/>
      <c r="T91" s="29"/>
      <c r="U91" s="29"/>
      <c r="Y91" s="62"/>
      <c r="Z91" s="62"/>
      <c r="AA91" s="62"/>
      <c r="AB91" s="62"/>
      <c r="AC91" s="62"/>
      <c r="AD91" s="62"/>
      <c r="AE91" s="62"/>
      <c r="AF91" s="62"/>
      <c r="AG91" s="62"/>
      <c r="AH91" s="62"/>
      <c r="AI91" s="62"/>
      <c r="AJ91" s="62"/>
      <c r="AK91" s="62"/>
      <c r="AL91" s="62">
        <v>15</v>
      </c>
      <c r="AM91" s="62" t="s">
        <v>60</v>
      </c>
      <c r="AN91" s="62"/>
      <c r="AO91" s="29"/>
      <c r="AP91" s="62"/>
      <c r="AQ91" s="62"/>
      <c r="AR91" s="62"/>
      <c r="AS91" s="62"/>
      <c r="AT91" s="62"/>
      <c r="AU91" s="62"/>
      <c r="AV91" s="62"/>
      <c r="AW91" s="62"/>
      <c r="AX91" s="62"/>
      <c r="AY91" s="62"/>
      <c r="AZ91" s="62"/>
      <c r="BA91" s="62"/>
      <c r="BB91" s="62"/>
      <c r="BC91" s="62"/>
      <c r="BD91" s="62"/>
      <c r="BE91" s="62"/>
      <c r="BF91" s="62"/>
      <c r="BG91" s="62"/>
      <c r="BH91" s="62"/>
      <c r="BI91" s="62"/>
    </row>
    <row r="92" spans="18:61" ht="12.75" hidden="1">
      <c r="R92" s="29"/>
      <c r="S92" s="29"/>
      <c r="T92" s="29"/>
      <c r="U92" s="29"/>
      <c r="Y92" s="62"/>
      <c r="Z92" s="62"/>
      <c r="AA92" s="62"/>
      <c r="AB92" s="62"/>
      <c r="AC92" s="62"/>
      <c r="AD92" s="62"/>
      <c r="AE92" s="62"/>
      <c r="AF92" s="62"/>
      <c r="AG92" s="62"/>
      <c r="AH92" s="62"/>
      <c r="AI92" s="62"/>
      <c r="AJ92" s="62"/>
      <c r="AK92" s="62"/>
      <c r="AL92" s="62">
        <v>16</v>
      </c>
      <c r="AM92" s="62" t="s">
        <v>61</v>
      </c>
      <c r="AN92" s="62"/>
      <c r="AO92" s="29"/>
      <c r="AP92" s="62"/>
      <c r="AQ92" s="62"/>
      <c r="AR92" s="62"/>
      <c r="AS92" s="62"/>
      <c r="AT92" s="62"/>
      <c r="AU92" s="62"/>
      <c r="AV92" s="62"/>
      <c r="AW92" s="62"/>
      <c r="AX92" s="62"/>
      <c r="AY92" s="62"/>
      <c r="AZ92" s="62"/>
      <c r="BA92" s="62"/>
      <c r="BB92" s="62"/>
      <c r="BC92" s="62"/>
      <c r="BD92" s="62"/>
      <c r="BE92" s="62"/>
      <c r="BF92" s="62"/>
      <c r="BG92" s="62"/>
      <c r="BH92" s="62"/>
      <c r="BI92" s="62"/>
    </row>
    <row r="93" spans="18:61" ht="12.75" hidden="1">
      <c r="R93" s="29"/>
      <c r="S93" s="29"/>
      <c r="T93" s="29"/>
      <c r="U93" s="29"/>
      <c r="Y93" s="62"/>
      <c r="Z93" s="62"/>
      <c r="AA93" s="62"/>
      <c r="AB93" s="62"/>
      <c r="AC93" s="62"/>
      <c r="AD93" s="62"/>
      <c r="AE93" s="62"/>
      <c r="AF93" s="62"/>
      <c r="AG93" s="62"/>
      <c r="AH93" s="62"/>
      <c r="AI93" s="62"/>
      <c r="AJ93" s="62"/>
      <c r="AK93" s="62"/>
      <c r="AL93" s="62">
        <v>17</v>
      </c>
      <c r="AM93" s="62" t="s">
        <v>62</v>
      </c>
      <c r="AN93" s="62"/>
      <c r="AO93" s="29"/>
      <c r="AP93" s="62"/>
      <c r="AQ93" s="62"/>
      <c r="AR93" s="62"/>
      <c r="AS93" s="62"/>
      <c r="AT93" s="62"/>
      <c r="AU93" s="62"/>
      <c r="AV93" s="62"/>
      <c r="AW93" s="62"/>
      <c r="AX93" s="62"/>
      <c r="AY93" s="62"/>
      <c r="AZ93" s="62"/>
      <c r="BA93" s="62"/>
      <c r="BB93" s="62"/>
      <c r="BC93" s="62"/>
      <c r="BD93" s="62"/>
      <c r="BE93" s="62"/>
      <c r="BF93" s="62"/>
      <c r="BG93" s="62"/>
      <c r="BH93" s="62"/>
      <c r="BI93" s="62"/>
    </row>
    <row r="94" spans="18:61" ht="12.75" hidden="1">
      <c r="R94" s="29"/>
      <c r="S94" s="29"/>
      <c r="T94" s="29"/>
      <c r="U94" s="29"/>
      <c r="Y94" s="62"/>
      <c r="Z94" s="62"/>
      <c r="AA94" s="62"/>
      <c r="AB94" s="62"/>
      <c r="AC94" s="62"/>
      <c r="AD94" s="62"/>
      <c r="AE94" s="62"/>
      <c r="AF94" s="62"/>
      <c r="AG94" s="62"/>
      <c r="AH94" s="62"/>
      <c r="AI94" s="62"/>
      <c r="AJ94" s="62"/>
      <c r="AK94" s="62"/>
      <c r="AL94" s="62">
        <v>18</v>
      </c>
      <c r="AM94" s="62" t="s">
        <v>63</v>
      </c>
      <c r="AN94" s="62"/>
      <c r="AO94" s="29"/>
      <c r="AP94" s="62"/>
      <c r="AQ94" s="62"/>
      <c r="AR94" s="62"/>
      <c r="AS94" s="62"/>
      <c r="AT94" s="62"/>
      <c r="AU94" s="62"/>
      <c r="AV94" s="62"/>
      <c r="AW94" s="62"/>
      <c r="AX94" s="62"/>
      <c r="AY94" s="62"/>
      <c r="AZ94" s="62"/>
      <c r="BA94" s="62"/>
      <c r="BB94" s="62"/>
      <c r="BC94" s="62"/>
      <c r="BD94" s="62"/>
      <c r="BE94" s="62"/>
      <c r="BF94" s="62"/>
      <c r="BG94" s="62"/>
      <c r="BH94" s="62"/>
      <c r="BI94" s="62"/>
    </row>
    <row r="95" spans="18:61" ht="12.75" hidden="1">
      <c r="R95" s="29"/>
      <c r="S95" s="29"/>
      <c r="T95" s="29"/>
      <c r="U95" s="29"/>
      <c r="Y95" s="62"/>
      <c r="Z95" s="62"/>
      <c r="AA95" s="62"/>
      <c r="AB95" s="62"/>
      <c r="AC95" s="62"/>
      <c r="AD95" s="62"/>
      <c r="AE95" s="62"/>
      <c r="AF95" s="62"/>
      <c r="AG95" s="62"/>
      <c r="AH95" s="62"/>
      <c r="AI95" s="62"/>
      <c r="AJ95" s="62"/>
      <c r="AK95" s="62"/>
      <c r="AL95" s="62">
        <v>19</v>
      </c>
      <c r="AM95" s="62" t="s">
        <v>64</v>
      </c>
      <c r="AN95" s="62"/>
      <c r="AO95" s="29"/>
      <c r="AP95" s="62"/>
      <c r="AQ95" s="62"/>
      <c r="AR95" s="62"/>
      <c r="AS95" s="62"/>
      <c r="AT95" s="62"/>
      <c r="AU95" s="62"/>
      <c r="AV95" s="62"/>
      <c r="AW95" s="62"/>
      <c r="AX95" s="62"/>
      <c r="AY95" s="62"/>
      <c r="AZ95" s="62"/>
      <c r="BA95" s="62"/>
      <c r="BB95" s="62"/>
      <c r="BC95" s="62"/>
      <c r="BD95" s="62"/>
      <c r="BE95" s="62"/>
      <c r="BF95" s="62"/>
      <c r="BG95" s="62"/>
      <c r="BH95" s="62"/>
      <c r="BI95" s="62"/>
    </row>
    <row r="96" spans="18:61" ht="12.75" hidden="1">
      <c r="R96" s="29"/>
      <c r="S96" s="29"/>
      <c r="T96" s="29"/>
      <c r="U96" s="29"/>
      <c r="Y96" s="62"/>
      <c r="Z96" s="62"/>
      <c r="AA96" s="62"/>
      <c r="AB96" s="62"/>
      <c r="AC96" s="62"/>
      <c r="AD96" s="62"/>
      <c r="AE96" s="62"/>
      <c r="AF96" s="62"/>
      <c r="AG96" s="62"/>
      <c r="AH96" s="62"/>
      <c r="AI96" s="62"/>
      <c r="AJ96" s="62"/>
      <c r="AK96" s="62"/>
      <c r="AL96" s="62">
        <v>20</v>
      </c>
      <c r="AM96" s="62" t="s">
        <v>40</v>
      </c>
      <c r="AN96" s="62"/>
      <c r="AO96" s="29"/>
      <c r="AP96" s="62"/>
      <c r="AQ96" s="62"/>
      <c r="AR96" s="62"/>
      <c r="AS96" s="62"/>
      <c r="AT96" s="62"/>
      <c r="AU96" s="62"/>
      <c r="AV96" s="62"/>
      <c r="AW96" s="62"/>
      <c r="AX96" s="62"/>
      <c r="AY96" s="62"/>
      <c r="AZ96" s="62"/>
      <c r="BA96" s="62"/>
      <c r="BB96" s="62"/>
      <c r="BC96" s="62"/>
      <c r="BD96" s="62"/>
      <c r="BE96" s="62"/>
      <c r="BF96" s="62"/>
      <c r="BG96" s="62"/>
      <c r="BH96" s="62"/>
      <c r="BI96" s="62"/>
    </row>
    <row r="97" spans="18:61" ht="12.75" hidden="1">
      <c r="R97" s="29"/>
      <c r="S97" s="29"/>
      <c r="T97" s="29"/>
      <c r="U97" s="29"/>
      <c r="Y97" s="62"/>
      <c r="Z97" s="62"/>
      <c r="AA97" s="62"/>
      <c r="AB97" s="62"/>
      <c r="AC97" s="62"/>
      <c r="AD97" s="62"/>
      <c r="AE97" s="62"/>
      <c r="AF97" s="62"/>
      <c r="AG97" s="62"/>
      <c r="AH97" s="62"/>
      <c r="AI97" s="62"/>
      <c r="AJ97" s="62"/>
      <c r="AK97" s="62"/>
      <c r="AL97" s="62">
        <v>30</v>
      </c>
      <c r="AM97" s="62" t="s">
        <v>42</v>
      </c>
      <c r="AN97" s="62"/>
      <c r="AO97" s="29"/>
      <c r="AP97" s="62"/>
      <c r="AQ97" s="62"/>
      <c r="AR97" s="62"/>
      <c r="AS97" s="62"/>
      <c r="AT97" s="62"/>
      <c r="AU97" s="62"/>
      <c r="AV97" s="62"/>
      <c r="AW97" s="62"/>
      <c r="AX97" s="62"/>
      <c r="AY97" s="62"/>
      <c r="AZ97" s="62"/>
      <c r="BA97" s="62"/>
      <c r="BB97" s="62"/>
      <c r="BC97" s="62"/>
      <c r="BD97" s="62"/>
      <c r="BE97" s="62"/>
      <c r="BF97" s="62"/>
      <c r="BG97" s="62"/>
      <c r="BH97" s="62"/>
      <c r="BI97" s="62"/>
    </row>
    <row r="98" spans="18:61" ht="12.75" hidden="1">
      <c r="R98" s="29"/>
      <c r="S98" s="29"/>
      <c r="T98" s="29"/>
      <c r="U98" s="29"/>
      <c r="Y98" s="62"/>
      <c r="Z98" s="62"/>
      <c r="AA98" s="62"/>
      <c r="AB98" s="62"/>
      <c r="AC98" s="62"/>
      <c r="AD98" s="62"/>
      <c r="AE98" s="62"/>
      <c r="AF98" s="62"/>
      <c r="AG98" s="62"/>
      <c r="AH98" s="62"/>
      <c r="AI98" s="62"/>
      <c r="AJ98" s="62"/>
      <c r="AK98" s="62"/>
      <c r="AL98" s="62">
        <v>40</v>
      </c>
      <c r="AM98" s="62" t="s">
        <v>44</v>
      </c>
      <c r="AN98" s="62"/>
      <c r="AO98" s="29"/>
      <c r="AP98" s="62"/>
      <c r="AQ98" s="62"/>
      <c r="AR98" s="62"/>
      <c r="AS98" s="62"/>
      <c r="AT98" s="62"/>
      <c r="AU98" s="62"/>
      <c r="AV98" s="62"/>
      <c r="AW98" s="62"/>
      <c r="AX98" s="62"/>
      <c r="AY98" s="62"/>
      <c r="AZ98" s="62"/>
      <c r="BA98" s="62"/>
      <c r="BB98" s="62"/>
      <c r="BC98" s="62"/>
      <c r="BD98" s="62"/>
      <c r="BE98" s="62"/>
      <c r="BF98" s="62"/>
      <c r="BG98" s="62"/>
      <c r="BH98" s="62"/>
      <c r="BI98" s="62"/>
    </row>
    <row r="99" spans="18:61" ht="12.75" hidden="1">
      <c r="R99" s="29"/>
      <c r="S99" s="29"/>
      <c r="T99" s="29"/>
      <c r="U99" s="29"/>
      <c r="Y99" s="62"/>
      <c r="Z99" s="62"/>
      <c r="AA99" s="62"/>
      <c r="AB99" s="62"/>
      <c r="AC99" s="62"/>
      <c r="AD99" s="62"/>
      <c r="AE99" s="62"/>
      <c r="AF99" s="62"/>
      <c r="AG99" s="62"/>
      <c r="AH99" s="62"/>
      <c r="AI99" s="62"/>
      <c r="AJ99" s="62"/>
      <c r="AK99" s="62"/>
      <c r="AL99" s="62">
        <v>50</v>
      </c>
      <c r="AM99" s="62" t="s">
        <v>46</v>
      </c>
      <c r="AN99" s="62"/>
      <c r="AO99" s="29"/>
      <c r="AP99" s="62"/>
      <c r="AQ99" s="62"/>
      <c r="AR99" s="62"/>
      <c r="AS99" s="62"/>
      <c r="AT99" s="62"/>
      <c r="AU99" s="62"/>
      <c r="AV99" s="62"/>
      <c r="AW99" s="62"/>
      <c r="AX99" s="62"/>
      <c r="AY99" s="62"/>
      <c r="AZ99" s="62"/>
      <c r="BA99" s="62"/>
      <c r="BB99" s="62"/>
      <c r="BC99" s="62"/>
      <c r="BD99" s="62"/>
      <c r="BE99" s="62"/>
      <c r="BF99" s="62"/>
      <c r="BG99" s="62"/>
      <c r="BH99" s="62"/>
      <c r="BI99" s="62"/>
    </row>
    <row r="100" spans="18:61" ht="12.75" hidden="1">
      <c r="R100" s="29"/>
      <c r="S100" s="29"/>
      <c r="T100" s="29"/>
      <c r="U100" s="29"/>
      <c r="Y100" s="62"/>
      <c r="Z100" s="62"/>
      <c r="AA100" s="62"/>
      <c r="AB100" s="62"/>
      <c r="AC100" s="62"/>
      <c r="AD100" s="62"/>
      <c r="AE100" s="62"/>
      <c r="AF100" s="62"/>
      <c r="AG100" s="62"/>
      <c r="AH100" s="62"/>
      <c r="AI100" s="62"/>
      <c r="AJ100" s="62"/>
      <c r="AK100" s="62"/>
      <c r="AL100" s="62">
        <v>60</v>
      </c>
      <c r="AM100" s="62" t="s">
        <v>48</v>
      </c>
      <c r="AN100" s="62"/>
      <c r="AO100" s="29"/>
      <c r="AP100" s="62"/>
      <c r="AQ100" s="62"/>
      <c r="AR100" s="62"/>
      <c r="AS100" s="62"/>
      <c r="AT100" s="62"/>
      <c r="AU100" s="62"/>
      <c r="AV100" s="62"/>
      <c r="AW100" s="62"/>
      <c r="AX100" s="62"/>
      <c r="AY100" s="62"/>
      <c r="AZ100" s="62"/>
      <c r="BA100" s="62"/>
      <c r="BB100" s="62"/>
      <c r="BC100" s="62"/>
      <c r="BD100" s="62"/>
      <c r="BE100" s="62"/>
      <c r="BF100" s="62"/>
      <c r="BG100" s="62"/>
      <c r="BH100" s="62"/>
      <c r="BI100" s="62"/>
    </row>
    <row r="101" spans="18:61" ht="12.75" hidden="1">
      <c r="R101" s="29"/>
      <c r="S101" s="29"/>
      <c r="T101" s="29"/>
      <c r="U101" s="29"/>
      <c r="Y101" s="62"/>
      <c r="Z101" s="62"/>
      <c r="AA101" s="62"/>
      <c r="AB101" s="62"/>
      <c r="AC101" s="62"/>
      <c r="AD101" s="62"/>
      <c r="AE101" s="62"/>
      <c r="AF101" s="62"/>
      <c r="AG101" s="62"/>
      <c r="AH101" s="62"/>
      <c r="AI101" s="62"/>
      <c r="AJ101" s="62"/>
      <c r="AK101" s="62"/>
      <c r="AL101" s="62">
        <v>70</v>
      </c>
      <c r="AM101" s="62" t="s">
        <v>50</v>
      </c>
      <c r="AN101" s="62"/>
      <c r="AO101" s="29"/>
      <c r="AP101" s="62"/>
      <c r="AQ101" s="62"/>
      <c r="AR101" s="62"/>
      <c r="AS101" s="62"/>
      <c r="AT101" s="62"/>
      <c r="AU101" s="62"/>
      <c r="AV101" s="62"/>
      <c r="AW101" s="62"/>
      <c r="AX101" s="62"/>
      <c r="AY101" s="62"/>
      <c r="AZ101" s="62"/>
      <c r="BA101" s="62"/>
      <c r="BB101" s="62"/>
      <c r="BC101" s="62"/>
      <c r="BD101" s="62"/>
      <c r="BE101" s="62"/>
      <c r="BF101" s="62"/>
      <c r="BG101" s="62"/>
      <c r="BH101" s="62"/>
      <c r="BI101" s="62"/>
    </row>
    <row r="102" spans="18:61" ht="12.75" hidden="1">
      <c r="R102" s="29"/>
      <c r="S102" s="29"/>
      <c r="T102" s="29"/>
      <c r="U102" s="29"/>
      <c r="Y102" s="62"/>
      <c r="Z102" s="62"/>
      <c r="AA102" s="62"/>
      <c r="AB102" s="62"/>
      <c r="AC102" s="62"/>
      <c r="AD102" s="62"/>
      <c r="AE102" s="62"/>
      <c r="AF102" s="62"/>
      <c r="AG102" s="62"/>
      <c r="AH102" s="62"/>
      <c r="AI102" s="62"/>
      <c r="AJ102" s="62"/>
      <c r="AK102" s="62"/>
      <c r="AL102" s="62">
        <v>80</v>
      </c>
      <c r="AM102" s="62" t="s">
        <v>52</v>
      </c>
      <c r="AN102" s="62"/>
      <c r="AO102" s="29"/>
      <c r="AP102" s="62"/>
      <c r="AQ102" s="62"/>
      <c r="AR102" s="62"/>
      <c r="AS102" s="62"/>
      <c r="AT102" s="62"/>
      <c r="AU102" s="62"/>
      <c r="AV102" s="62"/>
      <c r="AW102" s="62"/>
      <c r="AX102" s="62"/>
      <c r="AY102" s="62"/>
      <c r="AZ102" s="62"/>
      <c r="BA102" s="62"/>
      <c r="BB102" s="62"/>
      <c r="BC102" s="62"/>
      <c r="BD102" s="62"/>
      <c r="BE102" s="62"/>
      <c r="BF102" s="62"/>
      <c r="BG102" s="62"/>
      <c r="BH102" s="62"/>
      <c r="BI102" s="62"/>
    </row>
    <row r="103" spans="18:61" ht="12.75" hidden="1">
      <c r="R103" s="29"/>
      <c r="S103" s="29"/>
      <c r="T103" s="29"/>
      <c r="U103" s="29"/>
      <c r="Y103" s="62"/>
      <c r="Z103" s="62"/>
      <c r="AA103" s="62"/>
      <c r="AB103" s="62"/>
      <c r="AC103" s="62"/>
      <c r="AD103" s="62"/>
      <c r="AE103" s="62"/>
      <c r="AF103" s="62"/>
      <c r="AG103" s="62"/>
      <c r="AH103" s="62"/>
      <c r="AI103" s="62"/>
      <c r="AJ103" s="62"/>
      <c r="AK103" s="62"/>
      <c r="AL103" s="62">
        <v>90</v>
      </c>
      <c r="AM103" s="62" t="s">
        <v>54</v>
      </c>
      <c r="AN103" s="62"/>
      <c r="AO103" s="29"/>
      <c r="AP103" s="62"/>
      <c r="AQ103" s="62"/>
      <c r="AR103" s="62"/>
      <c r="AS103" s="62"/>
      <c r="AT103" s="62"/>
      <c r="AU103" s="62"/>
      <c r="AV103" s="62"/>
      <c r="AW103" s="62"/>
      <c r="AX103" s="62"/>
      <c r="AY103" s="62"/>
      <c r="AZ103" s="62"/>
      <c r="BA103" s="62"/>
      <c r="BB103" s="62"/>
      <c r="BC103" s="62"/>
      <c r="BD103" s="62"/>
      <c r="BE103" s="62"/>
      <c r="BF103" s="62"/>
      <c r="BG103" s="62"/>
      <c r="BH103" s="62"/>
      <c r="BI103" s="62"/>
    </row>
    <row r="104" spans="18:37" ht="12.75" hidden="1">
      <c r="R104" s="29"/>
      <c r="S104" s="29"/>
      <c r="T104" s="29"/>
      <c r="U104" s="29"/>
      <c r="Y104" s="29"/>
      <c r="Z104" s="29"/>
      <c r="AA104" s="29"/>
      <c r="AB104" s="29"/>
      <c r="AC104" s="29"/>
      <c r="AD104" s="29"/>
      <c r="AE104" s="29"/>
      <c r="AF104" s="29"/>
      <c r="AG104" s="29"/>
      <c r="AH104" s="29"/>
      <c r="AI104" s="29"/>
      <c r="AJ104" s="29"/>
      <c r="AK104" s="29"/>
    </row>
    <row r="105" spans="18:40" ht="12.75" hidden="1">
      <c r="R105" s="29"/>
      <c r="S105" s="29"/>
      <c r="T105" s="29"/>
      <c r="U105" s="29"/>
      <c r="Y105" s="194">
        <f>Y77+1</f>
        <v>30001</v>
      </c>
      <c r="Z105" s="62">
        <f>(Y105-Y108)/1000</f>
        <v>30</v>
      </c>
      <c r="AA105" s="62"/>
      <c r="AB105" s="62"/>
      <c r="AC105" s="62"/>
      <c r="AD105" s="62"/>
      <c r="AE105" s="62"/>
      <c r="AF105" s="62"/>
      <c r="AG105" s="62"/>
      <c r="AH105" s="62"/>
      <c r="AI105" s="62"/>
      <c r="AJ105" s="62"/>
      <c r="AK105" s="62"/>
      <c r="AL105" s="62">
        <v>1</v>
      </c>
      <c r="AM105" s="62" t="s">
        <v>38</v>
      </c>
      <c r="AN105" s="62"/>
    </row>
    <row r="106" spans="18:40" ht="12.75" hidden="1">
      <c r="R106" s="29"/>
      <c r="S106" s="29"/>
      <c r="T106" s="29"/>
      <c r="U106" s="29"/>
      <c r="Y106" s="62">
        <f>(Z105-Y107)/100</f>
        <v>0</v>
      </c>
      <c r="Z106" s="62">
        <f>Y106</f>
        <v>0</v>
      </c>
      <c r="AA106" s="62">
        <f>RIGHT(Z106,2)*1</f>
        <v>0</v>
      </c>
      <c r="AB106" s="62">
        <f>(Z106-AA106)/100</f>
        <v>0</v>
      </c>
      <c r="AC106" s="62">
        <f>(AA106-RIGHT(AA106,1)*1)/10</f>
        <v>0</v>
      </c>
      <c r="AD106" s="62">
        <f>RIGHT(Z106,1)*1</f>
        <v>0</v>
      </c>
      <c r="AE106" s="62" t="str">
        <f>IF(AC106=AL106,AN106,IF(AC106=AL107,AN107,IF(AC106=AL108,AN108,IF(AC106=AL109,AN109,IF(AC106=AL110,AN110,IF(AC106=AL111,AN111,IF(AC106=AL112,AN112,IF(AC106=AL113,AN113," "))))))))</f>
        <v> </v>
      </c>
      <c r="AF106" s="62" t="str">
        <f>IF(AC106=1," ",IF(AD106=AL105,AM105,IF(AD106=AL106,AM106,IF(AD106=AL107,AM107,IF(AD106=AL108,AM108,IF(AD106=AL109,AM109,IF(AD106=AL110,AM110," ")))))))</f>
        <v> </v>
      </c>
      <c r="AG106" s="62" t="str">
        <f>IF(AC106=1," ",IF(AD106=AL111,AM111,IF(AD106=AL112,AM112,IF(AD106=AL113,AM113," "))))</f>
        <v> </v>
      </c>
      <c r="AH106" s="62" t="str">
        <f>IF(AC106=0," ",IF(AC106&gt;1," ",IF(AD106=AL106,AM116,IF(AD106=AL107,AM117,IF(AD106=AL108,AM118,IF(AD106=AL109,AM119,IF(AD106=AL110,AM120,IF(AD106=AL111,AM121," "))))))))</f>
        <v> </v>
      </c>
      <c r="AI106" s="62" t="str">
        <f>IF(AC106=0," ",IF(AC106&gt;1," ",IF(AD106=AL112,AM122,IF(AD106=AL113,AM123,IF(AD106=AL105,AM115,IF(AD106=0,AM114," "))))))</f>
        <v> </v>
      </c>
      <c r="AJ106" s="62" t="str">
        <f>IF(AC106=0," ","lakh")</f>
        <v> </v>
      </c>
      <c r="AK106" s="62" t="str">
        <f>IF(AD106=0," ",IF(AC106&gt;0," ","lakh"))</f>
        <v> </v>
      </c>
      <c r="AL106" s="62">
        <v>2</v>
      </c>
      <c r="AM106" s="62" t="s">
        <v>39</v>
      </c>
      <c r="AN106" s="62" t="s">
        <v>40</v>
      </c>
    </row>
    <row r="107" spans="18:40" ht="12.75" hidden="1">
      <c r="R107" s="29"/>
      <c r="S107" s="29"/>
      <c r="T107" s="29"/>
      <c r="U107" s="29"/>
      <c r="Y107" s="62">
        <f>RIGHT(Z105,2)*1</f>
        <v>30</v>
      </c>
      <c r="Z107" s="62">
        <f>Y107</f>
        <v>30</v>
      </c>
      <c r="AA107" s="62">
        <f>RIGHT(Z107,2)*1</f>
        <v>30</v>
      </c>
      <c r="AB107" s="62">
        <f>(Z107-AA107)/100</f>
        <v>0</v>
      </c>
      <c r="AC107" s="62">
        <f>(AA107-RIGHT(AA107,1)*1)/10</f>
        <v>3</v>
      </c>
      <c r="AD107" s="62">
        <f>RIGHT(Z107,1)*1</f>
        <v>0</v>
      </c>
      <c r="AE107" s="62" t="str">
        <f>IF(AC107=AL106,AN106,IF(AC107=AL107,AN107,IF(AC107=AL108,AN108,IF(AC107=AL109,AN109,IF(AC107=AL110,AN110,IF(AC107=AL111,AN111,IF(AC107=AL112,AN112,IF(AC107=AL113,AN113," "))))))))</f>
        <v>Thirty </v>
      </c>
      <c r="AF107" s="62" t="str">
        <f>IF(AC107=1," ",IF(AD107=AL105,AM105,IF(AD107=AL106,AM106,IF(AD107=AL107,AM107,IF(AD107=AL108,AM108,IF(AD107=AL109,AM109,IF(AD107=AL110,AM110," ")))))))</f>
        <v> </v>
      </c>
      <c r="AG107" s="62" t="str">
        <f>IF(AC107=1," ",IF(AD107=AL111,AM111,IF(AD107=AL112,AM112,IF(AD107=AL113,AM113," "))))</f>
        <v> </v>
      </c>
      <c r="AH107" s="62" t="str">
        <f>IF(AC107=0," ",IF(AC107&gt;1," ",IF(AD107=AL106,AM116,IF(AD107=AL107,AM117,IF(AD107=AL108,AM118,IF(AD107=AL109,AM119,IF(AD107=AL110,AM120,IF(AD107=AL111,AM121," "))))))))</f>
        <v> </v>
      </c>
      <c r="AI107" s="62" t="str">
        <f>IF(AC107=0," ",IF(AC107&gt;1," ",IF(AD107=AL112,AM122,IF(AD107=AL113,AM123,IF(AD107=AL105,AM115,IF(AD107=0,AM114," "))))))</f>
        <v> </v>
      </c>
      <c r="AJ107" s="62" t="str">
        <f>IF(AC107=0," ","thousand")</f>
        <v>thousand</v>
      </c>
      <c r="AK107" s="62" t="str">
        <f>IF(AD107=0," ",IF(AC107&gt;0," ","thousand"))</f>
        <v> </v>
      </c>
      <c r="AL107" s="62">
        <v>3</v>
      </c>
      <c r="AM107" s="62" t="s">
        <v>41</v>
      </c>
      <c r="AN107" s="62" t="s">
        <v>42</v>
      </c>
    </row>
    <row r="108" spans="18:40" ht="12.75" hidden="1">
      <c r="R108" s="29"/>
      <c r="S108" s="29"/>
      <c r="T108" s="29"/>
      <c r="U108" s="29"/>
      <c r="Y108" s="62">
        <f>RIGHT(Y105,3)*1</f>
        <v>1</v>
      </c>
      <c r="Z108" s="62">
        <f>Y108</f>
        <v>1</v>
      </c>
      <c r="AA108" s="62">
        <f>ROUND((Z108-AB109)/100,0)</f>
        <v>0</v>
      </c>
      <c r="AB108" s="62"/>
      <c r="AC108" s="62"/>
      <c r="AD108" s="62"/>
      <c r="AE108" s="62"/>
      <c r="AF108" s="62" t="str">
        <f>IF(AA108=0," ",IF(AA108=AL105,AM105,IF(AA108=AL106,AM106,IF(AA108=AL107,AM107,IF(AA108=AL108,AM108,IF(AA108=AL109,AM109,IF(AA108=AL110,AM110," ")))))))</f>
        <v> </v>
      </c>
      <c r="AG108" s="62" t="str">
        <f>IF(AA108=0," ",IF(AA108=AL111,AM111,IF(AA108=AL112,AM112,IF(AA108=AL113,AM113," "))))</f>
        <v> </v>
      </c>
      <c r="AH108" s="62"/>
      <c r="AI108" s="62"/>
      <c r="AJ108" s="62" t="str">
        <f>IF(AA108=0," ","hundred")</f>
        <v> </v>
      </c>
      <c r="AK108" s="62"/>
      <c r="AL108" s="62">
        <v>4</v>
      </c>
      <c r="AM108" s="62" t="s">
        <v>43</v>
      </c>
      <c r="AN108" s="62" t="s">
        <v>44</v>
      </c>
    </row>
    <row r="109" spans="18:40" ht="12.75" hidden="1">
      <c r="R109" s="29"/>
      <c r="S109" s="29"/>
      <c r="T109" s="29"/>
      <c r="U109" s="29"/>
      <c r="Y109" s="62"/>
      <c r="Z109" s="62"/>
      <c r="AA109" s="62"/>
      <c r="AB109" s="62">
        <f>RIGHT(Z108,2)*1</f>
        <v>1</v>
      </c>
      <c r="AC109" s="62">
        <f>(AB109-RIGHT(AB109,1)*1)/10</f>
        <v>0</v>
      </c>
      <c r="AD109" s="62">
        <f>RIGHT(Z108,1)*1</f>
        <v>1</v>
      </c>
      <c r="AE109" s="62" t="str">
        <f>IF(AC109=AL106,AN106,IF(AC109=AL107,AN107,IF(AC109=AL108,AN108,IF(AC109=AL109,AN109,IF(AC109=AL110,AN110,IF(AC109=AL111,AN111,IF(AC109=AL112,AN112,IF(AC109=AL113,AN113," "))))))))</f>
        <v> </v>
      </c>
      <c r="AF109" s="62" t="str">
        <f>IF(AC109=1," ",IF(AD109=AL105,AM105,IF(AD109=AL106,AM106,IF(AD109=AL107,AM107,IF(AD109=AL108,AM108,IF(AD109=AL109,AM109,IF(AD109=AL110,AM110," ")))))))</f>
        <v>One</v>
      </c>
      <c r="AG109" s="62" t="str">
        <f>IF(AC109=1," ",IF(AD109=AL111,AM111,IF(AD109=AL112,AM112,IF(AD109=AL113,AM113," "))))</f>
        <v> </v>
      </c>
      <c r="AH109" s="62" t="str">
        <f>IF(AC109=0," ",IF(AC109&gt;1," ",IF(AD109=AL106,AM116,IF(AD109=AL107,AM117,IF(AD109=AL108,AM118,IF(AD109=AL109,AM119,IF(AD109=AL110,AM120,IF(AD109=AL111,AM121," "))))))))</f>
        <v> </v>
      </c>
      <c r="AI109" s="62" t="str">
        <f>IF(AC109=0," ",IF(AC109&gt;1," ",IF(AD109=AL112,AM122,IF(AD109=AL113,AM123,IF(AD109=AL105,AM115,IF(AD109=0,AM114," "))))))</f>
        <v> </v>
      </c>
      <c r="AJ109" s="62"/>
      <c r="AK109" s="62"/>
      <c r="AL109" s="62">
        <v>5</v>
      </c>
      <c r="AM109" s="62" t="s">
        <v>45</v>
      </c>
      <c r="AN109" s="62" t="s">
        <v>46</v>
      </c>
    </row>
    <row r="110" spans="18:40" ht="12.75" hidden="1">
      <c r="R110" s="29"/>
      <c r="S110" s="29"/>
      <c r="T110" s="29"/>
      <c r="U110" s="29"/>
      <c r="Y110" s="62"/>
      <c r="Z110" s="62"/>
      <c r="AA110" s="62"/>
      <c r="AB110" s="62"/>
      <c r="AC110" s="62">
        <f>AC109</f>
        <v>0</v>
      </c>
      <c r="AD110" s="62">
        <f>AD109</f>
        <v>1</v>
      </c>
      <c r="AE110" s="62"/>
      <c r="AF110" s="62"/>
      <c r="AG110" s="62"/>
      <c r="AH110" s="62"/>
      <c r="AI110" s="62"/>
      <c r="AJ110" s="62"/>
      <c r="AK110" s="62"/>
      <c r="AL110" s="62">
        <v>6</v>
      </c>
      <c r="AM110" s="62" t="s">
        <v>47</v>
      </c>
      <c r="AN110" s="62" t="s">
        <v>48</v>
      </c>
    </row>
    <row r="111" spans="18:40" ht="12.75" hidden="1">
      <c r="R111" s="29"/>
      <c r="S111" s="29"/>
      <c r="T111" s="29"/>
      <c r="U111" s="29"/>
      <c r="Y111" s="62"/>
      <c r="Z111" s="62"/>
      <c r="AA111" s="62"/>
      <c r="AB111" s="62"/>
      <c r="AC111" s="62"/>
      <c r="AD111" s="62"/>
      <c r="AE111" s="62"/>
      <c r="AF111" s="62"/>
      <c r="AG111" s="62"/>
      <c r="AH111" s="62"/>
      <c r="AI111" s="62"/>
      <c r="AJ111" s="62"/>
      <c r="AK111" s="62"/>
      <c r="AL111" s="62">
        <v>7</v>
      </c>
      <c r="AM111" s="62" t="s">
        <v>49</v>
      </c>
      <c r="AN111" s="62" t="s">
        <v>50</v>
      </c>
    </row>
    <row r="112" spans="18:40" ht="12.75" hidden="1">
      <c r="R112" s="29"/>
      <c r="S112" s="29"/>
      <c r="T112" s="29"/>
      <c r="U112" s="29"/>
      <c r="Y112" s="62"/>
      <c r="Z112" s="62"/>
      <c r="AA112" s="62"/>
      <c r="AB112" s="62"/>
      <c r="AC112" s="62"/>
      <c r="AD112" s="62"/>
      <c r="AE112" s="62"/>
      <c r="AF112" s="62"/>
      <c r="AG112" s="62"/>
      <c r="AH112" s="62"/>
      <c r="AI112" s="62"/>
      <c r="AJ112" s="62"/>
      <c r="AK112" s="62"/>
      <c r="AL112" s="62">
        <v>8</v>
      </c>
      <c r="AM112" s="62" t="s">
        <v>51</v>
      </c>
      <c r="AN112" s="62" t="s">
        <v>52</v>
      </c>
    </row>
    <row r="113" spans="18:40" ht="12.75" hidden="1">
      <c r="R113" s="29"/>
      <c r="S113" s="29"/>
      <c r="T113" s="29"/>
      <c r="U113" s="29"/>
      <c r="Y113" s="62">
        <f>TRIM(AE106&amp;" "&amp;AF106&amp;" "&amp;AG106&amp;" "&amp;AH106&amp;" "&amp;AI106&amp;" "&amp;AJ106&amp;" "&amp;AK106)</f>
      </c>
      <c r="Z113" s="62"/>
      <c r="AA113" s="62"/>
      <c r="AB113" s="62"/>
      <c r="AC113" s="62"/>
      <c r="AD113" s="62"/>
      <c r="AE113" s="62"/>
      <c r="AF113" s="62"/>
      <c r="AG113" s="62"/>
      <c r="AH113" s="62"/>
      <c r="AI113" s="62"/>
      <c r="AJ113" s="62"/>
      <c r="AK113" s="62"/>
      <c r="AL113" s="62">
        <v>9</v>
      </c>
      <c r="AM113" s="62" t="s">
        <v>53</v>
      </c>
      <c r="AN113" s="62" t="s">
        <v>54</v>
      </c>
    </row>
    <row r="114" spans="18:40" ht="12.75" hidden="1">
      <c r="R114" s="29"/>
      <c r="S114" s="29"/>
      <c r="T114" s="29"/>
      <c r="U114" s="29"/>
      <c r="Y114" s="62" t="str">
        <f>TRIM(AE107&amp;" "&amp;AF107&amp;" "&amp;AG107&amp;" "&amp;AH107&amp;" "&amp;AI107&amp;" "&amp;AJ107&amp;" "&amp;AK107)</f>
        <v>Thirty thousand</v>
      </c>
      <c r="Z114" s="62"/>
      <c r="AA114" s="62"/>
      <c r="AB114" s="62"/>
      <c r="AC114" s="62"/>
      <c r="AD114" s="62"/>
      <c r="AE114" s="62"/>
      <c r="AF114" s="62"/>
      <c r="AG114" s="62"/>
      <c r="AH114" s="62"/>
      <c r="AI114" s="62"/>
      <c r="AJ114" s="62"/>
      <c r="AK114" s="62"/>
      <c r="AL114" s="62">
        <v>10</v>
      </c>
      <c r="AM114" s="62" t="s">
        <v>55</v>
      </c>
      <c r="AN114" s="62"/>
    </row>
    <row r="115" spans="18:40" ht="12.75" hidden="1">
      <c r="R115" s="29"/>
      <c r="S115" s="29"/>
      <c r="T115" s="29"/>
      <c r="U115" s="29"/>
      <c r="Y115" s="62">
        <f>TRIM(AE108&amp;" "&amp;AF108&amp;" "&amp;AG108&amp;" "&amp;AH108&amp;" "&amp;AI108&amp;" "&amp;AJ108&amp;" "&amp;AK108)</f>
      </c>
      <c r="Z115" s="62"/>
      <c r="AA115" s="62"/>
      <c r="AB115" s="62"/>
      <c r="AC115" s="62"/>
      <c r="AD115" s="62"/>
      <c r="AE115" s="62"/>
      <c r="AF115" s="62"/>
      <c r="AG115" s="62"/>
      <c r="AH115" s="62"/>
      <c r="AI115" s="62"/>
      <c r="AJ115" s="62"/>
      <c r="AK115" s="62"/>
      <c r="AL115" s="62">
        <v>11</v>
      </c>
      <c r="AM115" s="62" t="s">
        <v>56</v>
      </c>
      <c r="AN115" s="62"/>
    </row>
    <row r="116" spans="18:40" ht="12.75" hidden="1">
      <c r="R116" s="29"/>
      <c r="S116" s="29"/>
      <c r="T116" s="29"/>
      <c r="U116" s="29"/>
      <c r="Y116" s="62" t="str">
        <f>TRIM(AE109&amp;" "&amp;AF109&amp;" "&amp;AG109&amp;" "&amp;AH109&amp;" "&amp;AI109)</f>
        <v>One</v>
      </c>
      <c r="Z116" s="62"/>
      <c r="AA116" s="62"/>
      <c r="AB116" s="62"/>
      <c r="AC116" s="62"/>
      <c r="AD116" s="62"/>
      <c r="AE116" s="62"/>
      <c r="AF116" s="62"/>
      <c r="AG116" s="62"/>
      <c r="AH116" s="62"/>
      <c r="AI116" s="62"/>
      <c r="AJ116" s="62"/>
      <c r="AK116" s="62"/>
      <c r="AL116" s="62">
        <v>12</v>
      </c>
      <c r="AM116" s="62" t="s">
        <v>57</v>
      </c>
      <c r="AN116" s="62"/>
    </row>
    <row r="117" spans="18:40" ht="12.75" hidden="1">
      <c r="R117" s="29"/>
      <c r="S117" s="29"/>
      <c r="T117" s="29"/>
      <c r="U117" s="29"/>
      <c r="Y117" s="62" t="str">
        <f>IF(Y105&gt;0,TRIM(Y113&amp;" "&amp;Y114&amp;" "&amp;Y115&amp;" "&amp;Y116)&amp;" only","Zero only")</f>
        <v>Thirty thousand One only</v>
      </c>
      <c r="Z117" s="62"/>
      <c r="AA117" s="62"/>
      <c r="AB117" s="62"/>
      <c r="AC117" s="62"/>
      <c r="AD117" s="62"/>
      <c r="AE117" s="62"/>
      <c r="AF117" s="62"/>
      <c r="AG117" s="62"/>
      <c r="AH117" s="62"/>
      <c r="AI117" s="62"/>
      <c r="AJ117" s="62"/>
      <c r="AK117" s="62"/>
      <c r="AL117" s="62">
        <v>13</v>
      </c>
      <c r="AM117" s="62" t="s">
        <v>58</v>
      </c>
      <c r="AN117" s="62"/>
    </row>
    <row r="118" spans="18:40" ht="12.75" hidden="1">
      <c r="R118" s="29"/>
      <c r="S118" s="29"/>
      <c r="T118" s="29"/>
      <c r="U118" s="29"/>
      <c r="Y118" s="62"/>
      <c r="Z118" s="62"/>
      <c r="AA118" s="62"/>
      <c r="AB118" s="62"/>
      <c r="AC118" s="62"/>
      <c r="AD118" s="62"/>
      <c r="AE118" s="62"/>
      <c r="AF118" s="62"/>
      <c r="AG118" s="62"/>
      <c r="AH118" s="62"/>
      <c r="AI118" s="62"/>
      <c r="AJ118" s="62"/>
      <c r="AK118" s="62"/>
      <c r="AL118" s="62">
        <v>14</v>
      </c>
      <c r="AM118" s="62" t="s">
        <v>59</v>
      </c>
      <c r="AN118" s="62"/>
    </row>
    <row r="119" spans="18:40" ht="12.75" hidden="1">
      <c r="R119" s="29"/>
      <c r="S119" s="29"/>
      <c r="T119" s="29"/>
      <c r="U119" s="29"/>
      <c r="Y119" s="62"/>
      <c r="Z119" s="62"/>
      <c r="AA119" s="62"/>
      <c r="AB119" s="62"/>
      <c r="AC119" s="62"/>
      <c r="AD119" s="62"/>
      <c r="AE119" s="62"/>
      <c r="AF119" s="62"/>
      <c r="AG119" s="62"/>
      <c r="AH119" s="62"/>
      <c r="AI119" s="62"/>
      <c r="AJ119" s="62"/>
      <c r="AK119" s="62"/>
      <c r="AL119" s="62">
        <v>15</v>
      </c>
      <c r="AM119" s="62" t="s">
        <v>60</v>
      </c>
      <c r="AN119" s="62"/>
    </row>
    <row r="120" spans="18:40" ht="12.75" hidden="1">
      <c r="R120" s="29"/>
      <c r="S120" s="29"/>
      <c r="T120" s="29"/>
      <c r="U120" s="29"/>
      <c r="Y120" s="62"/>
      <c r="Z120" s="62"/>
      <c r="AA120" s="62"/>
      <c r="AB120" s="62"/>
      <c r="AC120" s="62"/>
      <c r="AD120" s="62"/>
      <c r="AE120" s="62"/>
      <c r="AF120" s="62"/>
      <c r="AG120" s="62"/>
      <c r="AH120" s="62"/>
      <c r="AI120" s="62"/>
      <c r="AJ120" s="62"/>
      <c r="AK120" s="62"/>
      <c r="AL120" s="62">
        <v>16</v>
      </c>
      <c r="AM120" s="62" t="s">
        <v>61</v>
      </c>
      <c r="AN120" s="62"/>
    </row>
    <row r="121" spans="18:40" ht="12.75" hidden="1">
      <c r="R121" s="29"/>
      <c r="S121" s="29"/>
      <c r="T121" s="29"/>
      <c r="U121" s="29"/>
      <c r="Y121" s="62"/>
      <c r="Z121" s="62"/>
      <c r="AA121" s="62"/>
      <c r="AB121" s="62"/>
      <c r="AC121" s="62"/>
      <c r="AD121" s="62"/>
      <c r="AE121" s="62"/>
      <c r="AF121" s="62"/>
      <c r="AG121" s="62"/>
      <c r="AH121" s="62"/>
      <c r="AI121" s="62"/>
      <c r="AJ121" s="62"/>
      <c r="AK121" s="62"/>
      <c r="AL121" s="62">
        <v>17</v>
      </c>
      <c r="AM121" s="62" t="s">
        <v>62</v>
      </c>
      <c r="AN121" s="62"/>
    </row>
    <row r="122" spans="18:40" ht="12.75" hidden="1">
      <c r="R122" s="29"/>
      <c r="S122" s="29"/>
      <c r="T122" s="29"/>
      <c r="U122" s="29"/>
      <c r="Y122" s="62"/>
      <c r="Z122" s="62"/>
      <c r="AA122" s="62"/>
      <c r="AB122" s="62"/>
      <c r="AC122" s="62"/>
      <c r="AD122" s="62"/>
      <c r="AE122" s="62"/>
      <c r="AF122" s="62"/>
      <c r="AG122" s="62"/>
      <c r="AH122" s="62"/>
      <c r="AI122" s="62"/>
      <c r="AJ122" s="62"/>
      <c r="AK122" s="62"/>
      <c r="AL122" s="62">
        <v>18</v>
      </c>
      <c r="AM122" s="62" t="s">
        <v>63</v>
      </c>
      <c r="AN122" s="62"/>
    </row>
    <row r="123" spans="18:40" ht="12.75" hidden="1">
      <c r="R123" s="29"/>
      <c r="S123" s="29"/>
      <c r="T123" s="29"/>
      <c r="U123" s="29"/>
      <c r="Y123" s="62"/>
      <c r="Z123" s="62"/>
      <c r="AA123" s="62"/>
      <c r="AB123" s="62"/>
      <c r="AC123" s="62"/>
      <c r="AD123" s="62"/>
      <c r="AE123" s="62"/>
      <c r="AF123" s="62"/>
      <c r="AG123" s="62"/>
      <c r="AH123" s="62"/>
      <c r="AI123" s="62"/>
      <c r="AJ123" s="62"/>
      <c r="AK123" s="62"/>
      <c r="AL123" s="62">
        <v>19</v>
      </c>
      <c r="AM123" s="62" t="s">
        <v>64</v>
      </c>
      <c r="AN123" s="62"/>
    </row>
    <row r="124" spans="18:40" ht="12.75" hidden="1">
      <c r="R124" s="29"/>
      <c r="S124" s="29"/>
      <c r="T124" s="29"/>
      <c r="U124" s="29"/>
      <c r="Y124" s="62"/>
      <c r="Z124" s="62"/>
      <c r="AA124" s="62"/>
      <c r="AB124" s="62"/>
      <c r="AC124" s="62"/>
      <c r="AD124" s="62"/>
      <c r="AE124" s="62"/>
      <c r="AF124" s="62"/>
      <c r="AG124" s="62"/>
      <c r="AH124" s="62"/>
      <c r="AI124" s="62"/>
      <c r="AJ124" s="62"/>
      <c r="AK124" s="62"/>
      <c r="AL124" s="62">
        <v>20</v>
      </c>
      <c r="AM124" s="62" t="s">
        <v>40</v>
      </c>
      <c r="AN124" s="62"/>
    </row>
    <row r="125" spans="18:40" ht="12.75" hidden="1">
      <c r="R125" s="29"/>
      <c r="S125" s="29"/>
      <c r="T125" s="29"/>
      <c r="U125" s="29"/>
      <c r="Y125" s="62"/>
      <c r="Z125" s="62"/>
      <c r="AA125" s="62"/>
      <c r="AB125" s="62"/>
      <c r="AC125" s="62"/>
      <c r="AD125" s="62"/>
      <c r="AE125" s="62"/>
      <c r="AF125" s="62"/>
      <c r="AG125" s="62"/>
      <c r="AH125" s="62"/>
      <c r="AI125" s="62"/>
      <c r="AJ125" s="62"/>
      <c r="AK125" s="62"/>
      <c r="AL125" s="62">
        <v>30</v>
      </c>
      <c r="AM125" s="62" t="s">
        <v>42</v>
      </c>
      <c r="AN125" s="62"/>
    </row>
    <row r="126" spans="18:40" ht="12.75" hidden="1">
      <c r="R126" s="29"/>
      <c r="S126" s="29"/>
      <c r="T126" s="29"/>
      <c r="U126" s="29"/>
      <c r="Y126" s="62"/>
      <c r="Z126" s="62"/>
      <c r="AA126" s="62"/>
      <c r="AB126" s="62"/>
      <c r="AC126" s="62"/>
      <c r="AD126" s="62"/>
      <c r="AE126" s="62"/>
      <c r="AF126" s="62"/>
      <c r="AG126" s="62"/>
      <c r="AH126" s="62"/>
      <c r="AI126" s="62"/>
      <c r="AJ126" s="62"/>
      <c r="AK126" s="62"/>
      <c r="AL126" s="62">
        <v>40</v>
      </c>
      <c r="AM126" s="62" t="s">
        <v>44</v>
      </c>
      <c r="AN126" s="62"/>
    </row>
    <row r="127" spans="18:40" ht="12.75" hidden="1">
      <c r="R127" s="29"/>
      <c r="S127" s="29"/>
      <c r="T127" s="29"/>
      <c r="U127" s="29"/>
      <c r="Y127" s="62"/>
      <c r="Z127" s="62"/>
      <c r="AA127" s="62"/>
      <c r="AB127" s="62"/>
      <c r="AC127" s="62"/>
      <c r="AD127" s="62"/>
      <c r="AE127" s="62"/>
      <c r="AF127" s="62"/>
      <c r="AG127" s="62"/>
      <c r="AH127" s="62"/>
      <c r="AI127" s="62"/>
      <c r="AJ127" s="62"/>
      <c r="AK127" s="62"/>
      <c r="AL127" s="62">
        <v>50</v>
      </c>
      <c r="AM127" s="62" t="s">
        <v>46</v>
      </c>
      <c r="AN127" s="62"/>
    </row>
    <row r="128" spans="18:40" ht="12.75" hidden="1">
      <c r="R128" s="29"/>
      <c r="S128" s="29"/>
      <c r="T128" s="29"/>
      <c r="U128" s="29"/>
      <c r="Y128" s="62"/>
      <c r="Z128" s="62"/>
      <c r="AA128" s="62"/>
      <c r="AB128" s="62"/>
      <c r="AC128" s="62"/>
      <c r="AD128" s="62"/>
      <c r="AE128" s="62"/>
      <c r="AF128" s="62"/>
      <c r="AG128" s="62"/>
      <c r="AH128" s="62"/>
      <c r="AI128" s="62"/>
      <c r="AJ128" s="62"/>
      <c r="AK128" s="62"/>
      <c r="AL128" s="62">
        <v>60</v>
      </c>
      <c r="AM128" s="62" t="s">
        <v>48</v>
      </c>
      <c r="AN128" s="62"/>
    </row>
    <row r="129" spans="18:40" ht="12.75" hidden="1">
      <c r="R129" s="29"/>
      <c r="S129" s="29"/>
      <c r="T129" s="29"/>
      <c r="U129" s="29"/>
      <c r="Y129" s="62"/>
      <c r="Z129" s="62"/>
      <c r="AA129" s="62"/>
      <c r="AB129" s="62"/>
      <c r="AC129" s="62"/>
      <c r="AD129" s="62"/>
      <c r="AE129" s="62"/>
      <c r="AF129" s="62"/>
      <c r="AG129" s="62"/>
      <c r="AH129" s="62"/>
      <c r="AI129" s="62"/>
      <c r="AJ129" s="62"/>
      <c r="AK129" s="62"/>
      <c r="AL129" s="62">
        <v>70</v>
      </c>
      <c r="AM129" s="62" t="s">
        <v>50</v>
      </c>
      <c r="AN129" s="62"/>
    </row>
    <row r="130" spans="25:40" ht="12.75" hidden="1">
      <c r="Y130" s="62"/>
      <c r="Z130" s="62"/>
      <c r="AA130" s="62"/>
      <c r="AB130" s="62"/>
      <c r="AC130" s="62"/>
      <c r="AD130" s="62"/>
      <c r="AE130" s="62"/>
      <c r="AF130" s="62"/>
      <c r="AG130" s="62"/>
      <c r="AH130" s="62"/>
      <c r="AI130" s="62"/>
      <c r="AJ130" s="62"/>
      <c r="AK130" s="62"/>
      <c r="AL130" s="62">
        <v>80</v>
      </c>
      <c r="AM130" s="62" t="s">
        <v>52</v>
      </c>
      <c r="AN130" s="62"/>
    </row>
    <row r="131" spans="25:40" ht="12.75" hidden="1">
      <c r="Y131" s="62"/>
      <c r="Z131" s="62"/>
      <c r="AA131" s="62"/>
      <c r="AB131" s="62"/>
      <c r="AC131" s="62"/>
      <c r="AD131" s="62"/>
      <c r="AE131" s="62"/>
      <c r="AF131" s="62"/>
      <c r="AG131" s="62"/>
      <c r="AH131" s="62"/>
      <c r="AI131" s="62"/>
      <c r="AJ131" s="62"/>
      <c r="AK131" s="62"/>
      <c r="AL131" s="62">
        <v>90</v>
      </c>
      <c r="AM131" s="62" t="s">
        <v>54</v>
      </c>
      <c r="AN131" s="62"/>
    </row>
    <row r="132" spans="25:37" ht="12.75" hidden="1">
      <c r="Y132" s="29"/>
      <c r="Z132" s="29"/>
      <c r="AA132" s="29"/>
      <c r="AB132" s="29"/>
      <c r="AC132" s="29"/>
      <c r="AD132" s="29"/>
      <c r="AE132" s="29"/>
      <c r="AF132" s="29"/>
      <c r="AG132" s="29"/>
      <c r="AH132" s="29"/>
      <c r="AI132" s="29"/>
      <c r="AJ132" s="29"/>
      <c r="AK132" s="29"/>
    </row>
    <row r="133" spans="25:37" ht="12.75" hidden="1">
      <c r="Y133" s="29"/>
      <c r="Z133" s="29"/>
      <c r="AA133" s="29"/>
      <c r="AB133" s="29"/>
      <c r="AC133" s="29"/>
      <c r="AD133" s="29"/>
      <c r="AE133" s="29"/>
      <c r="AF133" s="29"/>
      <c r="AG133" s="29"/>
      <c r="AH133" s="29"/>
      <c r="AI133" s="29"/>
      <c r="AJ133" s="29"/>
      <c r="AK133" s="29"/>
    </row>
    <row r="134" spans="25:37" ht="12.75" hidden="1">
      <c r="Y134" s="29"/>
      <c r="Z134" s="29"/>
      <c r="AA134" s="29"/>
      <c r="AB134" s="29"/>
      <c r="AC134" s="29"/>
      <c r="AD134" s="29"/>
      <c r="AE134" s="29"/>
      <c r="AF134" s="29"/>
      <c r="AG134" s="29"/>
      <c r="AH134" s="29"/>
      <c r="AI134" s="29"/>
      <c r="AJ134" s="29"/>
      <c r="AK134" s="29"/>
    </row>
    <row r="135" spans="25:37" ht="12.75" hidden="1">
      <c r="Y135" s="29"/>
      <c r="Z135" s="29"/>
      <c r="AA135" s="29"/>
      <c r="AB135" s="29"/>
      <c r="AC135" s="29"/>
      <c r="AD135" s="29"/>
      <c r="AE135" s="29"/>
      <c r="AF135" s="29"/>
      <c r="AG135" s="29"/>
      <c r="AH135" s="29"/>
      <c r="AI135" s="29"/>
      <c r="AJ135" s="29"/>
      <c r="AK135" s="29"/>
    </row>
    <row r="136" ht="12.75" hidden="1">
      <c r="AH136" s="5"/>
    </row>
    <row r="137" spans="25:37" ht="12.75" hidden="1">
      <c r="Y137" s="29"/>
      <c r="Z137" s="29"/>
      <c r="AA137" s="29"/>
      <c r="AB137" s="29"/>
      <c r="AC137" s="29"/>
      <c r="AD137" s="29"/>
      <c r="AE137" s="29"/>
      <c r="AF137" s="29"/>
      <c r="AG137" s="29"/>
      <c r="AH137" s="29"/>
      <c r="AI137" s="29"/>
      <c r="AJ137" s="29"/>
      <c r="AK137" s="29"/>
    </row>
    <row r="138" spans="25:37" ht="12.75" hidden="1">
      <c r="Y138" s="29"/>
      <c r="Z138" s="29"/>
      <c r="AA138" s="29"/>
      <c r="AB138" s="29"/>
      <c r="AC138" s="29"/>
      <c r="AD138" s="29"/>
      <c r="AE138" s="29"/>
      <c r="AF138" s="29"/>
      <c r="AG138" s="29"/>
      <c r="AH138" s="29"/>
      <c r="AI138" s="29"/>
      <c r="AJ138" s="29"/>
      <c r="AK138" s="29"/>
    </row>
    <row r="139" spans="25:37" ht="12.75" hidden="1">
      <c r="Y139" s="29"/>
      <c r="Z139" s="29"/>
      <c r="AA139" s="29"/>
      <c r="AB139" s="29"/>
      <c r="AC139" s="29"/>
      <c r="AD139" s="29"/>
      <c r="AE139" s="29"/>
      <c r="AF139" s="29"/>
      <c r="AG139" s="29"/>
      <c r="AH139" s="29"/>
      <c r="AI139" s="29"/>
      <c r="AJ139" s="29"/>
      <c r="AK139" s="29"/>
    </row>
    <row r="140" spans="25:37" ht="12.75" hidden="1">
      <c r="Y140" s="29"/>
      <c r="Z140" s="29"/>
      <c r="AA140" s="29"/>
      <c r="AB140" s="29"/>
      <c r="AC140" s="29"/>
      <c r="AD140" s="29"/>
      <c r="AE140" s="29"/>
      <c r="AF140" s="29"/>
      <c r="AG140" s="29"/>
      <c r="AH140" s="29"/>
      <c r="AI140" s="29"/>
      <c r="AJ140" s="29"/>
      <c r="AK140" s="29"/>
    </row>
    <row r="141" spans="25:37" ht="12.75" hidden="1">
      <c r="Y141" s="29"/>
      <c r="Z141" s="29"/>
      <c r="AA141" s="29"/>
      <c r="AB141" s="29"/>
      <c r="AC141" s="29"/>
      <c r="AD141" s="29"/>
      <c r="AE141" s="29"/>
      <c r="AF141" s="29"/>
      <c r="AG141" s="29"/>
      <c r="AH141" s="29"/>
      <c r="AI141" s="29"/>
      <c r="AJ141" s="29"/>
      <c r="AK141" s="29"/>
    </row>
    <row r="142" spans="25:37" ht="12.75" hidden="1">
      <c r="Y142" s="29"/>
      <c r="Z142" s="29"/>
      <c r="AA142" s="29"/>
      <c r="AB142" s="29"/>
      <c r="AC142" s="29"/>
      <c r="AD142" s="29"/>
      <c r="AE142" s="29"/>
      <c r="AF142" s="29"/>
      <c r="AG142" s="29"/>
      <c r="AH142" s="29"/>
      <c r="AI142" s="29"/>
      <c r="AJ142" s="29"/>
      <c r="AK142" s="29"/>
    </row>
    <row r="143" spans="25:37" ht="12.75" hidden="1">
      <c r="Y143" s="29"/>
      <c r="Z143" s="29"/>
      <c r="AA143" s="29"/>
      <c r="AB143" s="29"/>
      <c r="AC143" s="29"/>
      <c r="AD143" s="29"/>
      <c r="AE143" s="29"/>
      <c r="AF143" s="29"/>
      <c r="AG143" s="29"/>
      <c r="AH143" s="29"/>
      <c r="AI143" s="29"/>
      <c r="AJ143" s="29"/>
      <c r="AK143" s="29"/>
    </row>
    <row r="144" spans="25:37" ht="12.75" hidden="1">
      <c r="Y144" s="29"/>
      <c r="Z144" s="29"/>
      <c r="AA144" s="29"/>
      <c r="AB144" s="29"/>
      <c r="AC144" s="29"/>
      <c r="AD144" s="29"/>
      <c r="AE144" s="29"/>
      <c r="AF144" s="29"/>
      <c r="AG144" s="29"/>
      <c r="AH144" s="29"/>
      <c r="AI144" s="29"/>
      <c r="AJ144" s="29"/>
      <c r="AK144" s="29"/>
    </row>
    <row r="145" spans="25:37" ht="12.75" hidden="1">
      <c r="Y145" s="29"/>
      <c r="Z145" s="29"/>
      <c r="AA145" s="29"/>
      <c r="AB145" s="29"/>
      <c r="AC145" s="29"/>
      <c r="AD145" s="29"/>
      <c r="AE145" s="29"/>
      <c r="AF145" s="29"/>
      <c r="AG145" s="29"/>
      <c r="AH145" s="29"/>
      <c r="AI145" s="29"/>
      <c r="AJ145" s="29"/>
      <c r="AK145" s="29"/>
    </row>
    <row r="146" spans="25:37" ht="12.75" hidden="1">
      <c r="Y146" s="29"/>
      <c r="Z146" s="29"/>
      <c r="AA146" s="29"/>
      <c r="AB146" s="29"/>
      <c r="AC146" s="29"/>
      <c r="AD146" s="29"/>
      <c r="AE146" s="29"/>
      <c r="AF146" s="29"/>
      <c r="AG146" s="29"/>
      <c r="AH146" s="29"/>
      <c r="AI146" s="29"/>
      <c r="AJ146" s="29"/>
      <c r="AK146" s="29"/>
    </row>
    <row r="147" spans="25:37" ht="12.75" hidden="1">
      <c r="Y147" s="29"/>
      <c r="Z147" s="29"/>
      <c r="AA147" s="29"/>
      <c r="AB147" s="29"/>
      <c r="AC147" s="29"/>
      <c r="AD147" s="29"/>
      <c r="AE147" s="29"/>
      <c r="AF147" s="29"/>
      <c r="AG147" s="29"/>
      <c r="AH147" s="29"/>
      <c r="AI147" s="29"/>
      <c r="AJ147" s="29"/>
      <c r="AK147" s="29"/>
    </row>
    <row r="148" spans="25:37" ht="12.75" hidden="1">
      <c r="Y148" s="29"/>
      <c r="Z148" s="29"/>
      <c r="AA148" s="29"/>
      <c r="AB148" s="29"/>
      <c r="AC148" s="29"/>
      <c r="AD148" s="29"/>
      <c r="AE148" s="29"/>
      <c r="AF148" s="29"/>
      <c r="AG148" s="29"/>
      <c r="AH148" s="29"/>
      <c r="AI148" s="29"/>
      <c r="AJ148" s="29"/>
      <c r="AK148" s="29"/>
    </row>
    <row r="149" spans="25:37" ht="12.75" hidden="1">
      <c r="Y149" s="29"/>
      <c r="Z149" s="29"/>
      <c r="AA149" s="29"/>
      <c r="AB149" s="29"/>
      <c r="AC149" s="29"/>
      <c r="AD149" s="29"/>
      <c r="AE149" s="29"/>
      <c r="AF149" s="29"/>
      <c r="AG149" s="29"/>
      <c r="AH149" s="29"/>
      <c r="AI149" s="29"/>
      <c r="AJ149" s="29"/>
      <c r="AK149" s="29"/>
    </row>
    <row r="150" spans="25:37" ht="12.75" hidden="1">
      <c r="Y150" s="29"/>
      <c r="Z150" s="29"/>
      <c r="AA150" s="29"/>
      <c r="AB150" s="29"/>
      <c r="AC150" s="29"/>
      <c r="AD150" s="29"/>
      <c r="AE150" s="29"/>
      <c r="AF150" s="29"/>
      <c r="AG150" s="29"/>
      <c r="AH150" s="29"/>
      <c r="AI150" s="29"/>
      <c r="AJ150" s="29"/>
      <c r="AK150" s="29"/>
    </row>
    <row r="151" spans="25:37" ht="12.75" hidden="1">
      <c r="Y151" s="29"/>
      <c r="Z151" s="29"/>
      <c r="AA151" s="29"/>
      <c r="AB151" s="29"/>
      <c r="AC151" s="29"/>
      <c r="AD151" s="29"/>
      <c r="AE151" s="29"/>
      <c r="AF151" s="29"/>
      <c r="AG151" s="29"/>
      <c r="AH151" s="29"/>
      <c r="AI151" s="29"/>
      <c r="AJ151" s="29"/>
      <c r="AK151" s="29"/>
    </row>
    <row r="152" spans="25:37" ht="12.75" hidden="1">
      <c r="Y152" s="29"/>
      <c r="Z152" s="29"/>
      <c r="AA152" s="29"/>
      <c r="AB152" s="29"/>
      <c r="AC152" s="29"/>
      <c r="AD152" s="29"/>
      <c r="AE152" s="29"/>
      <c r="AF152" s="29"/>
      <c r="AG152" s="29"/>
      <c r="AH152" s="29"/>
      <c r="AI152" s="29"/>
      <c r="AJ152" s="29"/>
      <c r="AK152" s="29"/>
    </row>
    <row r="153" spans="25:37" ht="12.75" hidden="1">
      <c r="Y153" s="29"/>
      <c r="Z153" s="29"/>
      <c r="AA153" s="29"/>
      <c r="AB153" s="29"/>
      <c r="AC153" s="29"/>
      <c r="AD153" s="29"/>
      <c r="AE153" s="29"/>
      <c r="AF153" s="29"/>
      <c r="AG153" s="29"/>
      <c r="AH153" s="29"/>
      <c r="AI153" s="29"/>
      <c r="AJ153" s="29"/>
      <c r="AK153" s="29"/>
    </row>
    <row r="154" spans="25:37" ht="12.75" hidden="1">
      <c r="Y154" s="29"/>
      <c r="Z154" s="29"/>
      <c r="AA154" s="29"/>
      <c r="AB154" s="29"/>
      <c r="AC154" s="29"/>
      <c r="AD154" s="29"/>
      <c r="AE154" s="29"/>
      <c r="AF154" s="29"/>
      <c r="AG154" s="29"/>
      <c r="AH154" s="29"/>
      <c r="AI154" s="29"/>
      <c r="AJ154" s="29"/>
      <c r="AK154" s="29"/>
    </row>
    <row r="155" spans="25:37" ht="12.75" hidden="1">
      <c r="Y155" s="29"/>
      <c r="Z155" s="29"/>
      <c r="AA155" s="29"/>
      <c r="AB155" s="29"/>
      <c r="AC155" s="29"/>
      <c r="AD155" s="29"/>
      <c r="AE155" s="29"/>
      <c r="AF155" s="29"/>
      <c r="AG155" s="29"/>
      <c r="AH155" s="29"/>
      <c r="AI155" s="29"/>
      <c r="AJ155" s="29"/>
      <c r="AK155" s="29"/>
    </row>
    <row r="156" spans="25:37" ht="12.75" hidden="1">
      <c r="Y156" s="29"/>
      <c r="Z156" s="29"/>
      <c r="AA156" s="29"/>
      <c r="AB156" s="29"/>
      <c r="AC156" s="29"/>
      <c r="AD156" s="29"/>
      <c r="AE156" s="29"/>
      <c r="AF156" s="29"/>
      <c r="AG156" s="29"/>
      <c r="AH156" s="29"/>
      <c r="AI156" s="29"/>
      <c r="AJ156" s="29"/>
      <c r="AK156" s="29"/>
    </row>
    <row r="157" spans="25:37" ht="12.75" hidden="1">
      <c r="Y157" s="29"/>
      <c r="Z157" s="29"/>
      <c r="AA157" s="29"/>
      <c r="AB157" s="29"/>
      <c r="AC157" s="29"/>
      <c r="AD157" s="29"/>
      <c r="AE157" s="29"/>
      <c r="AF157" s="29"/>
      <c r="AG157" s="29"/>
      <c r="AH157" s="29"/>
      <c r="AI157" s="29"/>
      <c r="AJ157" s="29"/>
      <c r="AK157" s="29"/>
    </row>
    <row r="158" spans="25:37" ht="12.75" hidden="1">
      <c r="Y158" s="29"/>
      <c r="Z158" s="29"/>
      <c r="AA158" s="29"/>
      <c r="AB158" s="29"/>
      <c r="AC158" s="29"/>
      <c r="AD158" s="29"/>
      <c r="AE158" s="29"/>
      <c r="AF158" s="29"/>
      <c r="AG158" s="29"/>
      <c r="AH158" s="29"/>
      <c r="AI158" s="29"/>
      <c r="AJ158" s="29"/>
      <c r="AK158" s="29"/>
    </row>
    <row r="159" spans="25:37" ht="12.75" hidden="1">
      <c r="Y159" s="29"/>
      <c r="Z159" s="29"/>
      <c r="AA159" s="29"/>
      <c r="AB159" s="29"/>
      <c r="AC159" s="29"/>
      <c r="AD159" s="29"/>
      <c r="AE159" s="29"/>
      <c r="AF159" s="29"/>
      <c r="AG159" s="29"/>
      <c r="AH159" s="29"/>
      <c r="AI159" s="29"/>
      <c r="AJ159" s="29"/>
      <c r="AK159" s="29"/>
    </row>
    <row r="160" spans="25:37" ht="12.75" hidden="1">
      <c r="Y160" s="29"/>
      <c r="Z160" s="29"/>
      <c r="AA160" s="29"/>
      <c r="AB160" s="29"/>
      <c r="AC160" s="29"/>
      <c r="AD160" s="29"/>
      <c r="AE160" s="29"/>
      <c r="AF160" s="29"/>
      <c r="AG160" s="29"/>
      <c r="AH160" s="29"/>
      <c r="AI160" s="29"/>
      <c r="AJ160" s="29"/>
      <c r="AK160" s="29"/>
    </row>
    <row r="161" spans="25:37" ht="12.75" hidden="1">
      <c r="Y161" s="29"/>
      <c r="Z161" s="29"/>
      <c r="AA161" s="29"/>
      <c r="AB161" s="29"/>
      <c r="AC161" s="29"/>
      <c r="AD161" s="29"/>
      <c r="AE161" s="29"/>
      <c r="AF161" s="29"/>
      <c r="AG161" s="29"/>
      <c r="AH161" s="29"/>
      <c r="AI161" s="29"/>
      <c r="AJ161" s="29"/>
      <c r="AK161" s="29"/>
    </row>
    <row r="162" spans="25:37" ht="12.75" hidden="1">
      <c r="Y162" s="29"/>
      <c r="Z162" s="29"/>
      <c r="AA162" s="29"/>
      <c r="AB162" s="29"/>
      <c r="AC162" s="29"/>
      <c r="AD162" s="29"/>
      <c r="AE162" s="29"/>
      <c r="AF162" s="29"/>
      <c r="AG162" s="29"/>
      <c r="AH162" s="29"/>
      <c r="AI162" s="29"/>
      <c r="AJ162" s="29"/>
      <c r="AK162" s="29"/>
    </row>
    <row r="163" spans="25:37" ht="12.75" hidden="1">
      <c r="Y163" s="29"/>
      <c r="Z163" s="29"/>
      <c r="AA163" s="29"/>
      <c r="AB163" s="29"/>
      <c r="AC163" s="29"/>
      <c r="AD163" s="29"/>
      <c r="AE163" s="29"/>
      <c r="AF163" s="29"/>
      <c r="AG163" s="29"/>
      <c r="AH163" s="29"/>
      <c r="AI163" s="29"/>
      <c r="AJ163" s="29"/>
      <c r="AK163" s="29"/>
    </row>
    <row r="164" ht="12.75" hidden="1">
      <c r="AH164" s="5"/>
    </row>
    <row r="165" ht="12.75" hidden="1">
      <c r="AH165" s="5"/>
    </row>
    <row r="166" spans="25:37" ht="12.75" hidden="1">
      <c r="Y166" s="29"/>
      <c r="Z166" s="29"/>
      <c r="AA166" s="29"/>
      <c r="AB166" s="29"/>
      <c r="AC166" s="29"/>
      <c r="AD166" s="29"/>
      <c r="AE166" s="29"/>
      <c r="AF166" s="29"/>
      <c r="AG166" s="29"/>
      <c r="AH166" s="29"/>
      <c r="AI166" s="29"/>
      <c r="AJ166" s="29"/>
      <c r="AK166" s="29"/>
    </row>
    <row r="167" spans="25:37" ht="12.75" hidden="1">
      <c r="Y167" s="29"/>
      <c r="Z167" s="29"/>
      <c r="AA167" s="29"/>
      <c r="AB167" s="29"/>
      <c r="AC167" s="29"/>
      <c r="AD167" s="29"/>
      <c r="AE167" s="29"/>
      <c r="AF167" s="29"/>
      <c r="AG167" s="29"/>
      <c r="AH167" s="29"/>
      <c r="AI167" s="29"/>
      <c r="AJ167" s="29"/>
      <c r="AK167" s="29"/>
    </row>
    <row r="168" spans="25:37" ht="12.75" hidden="1">
      <c r="Y168" s="29"/>
      <c r="Z168" s="29"/>
      <c r="AA168" s="29"/>
      <c r="AB168" s="29"/>
      <c r="AC168" s="29"/>
      <c r="AD168" s="29"/>
      <c r="AE168" s="29"/>
      <c r="AF168" s="29"/>
      <c r="AG168" s="29"/>
      <c r="AH168" s="29"/>
      <c r="AI168" s="29"/>
      <c r="AJ168" s="29"/>
      <c r="AK168" s="29"/>
    </row>
    <row r="169" spans="25:37" ht="12.75" hidden="1">
      <c r="Y169" s="29"/>
      <c r="Z169" s="29"/>
      <c r="AA169" s="29"/>
      <c r="AB169" s="29"/>
      <c r="AC169" s="29"/>
      <c r="AD169" s="29"/>
      <c r="AE169" s="29"/>
      <c r="AF169" s="29"/>
      <c r="AG169" s="29"/>
      <c r="AH169" s="29"/>
      <c r="AI169" s="29"/>
      <c r="AJ169" s="29"/>
      <c r="AK169" s="29"/>
    </row>
    <row r="170" spans="25:37" ht="12.75" hidden="1">
      <c r="Y170" s="29"/>
      <c r="Z170" s="29"/>
      <c r="AA170" s="29"/>
      <c r="AB170" s="29"/>
      <c r="AC170" s="29"/>
      <c r="AD170" s="29"/>
      <c r="AE170" s="29"/>
      <c r="AF170" s="29"/>
      <c r="AG170" s="29"/>
      <c r="AH170" s="29"/>
      <c r="AI170" s="29"/>
      <c r="AJ170" s="29"/>
      <c r="AK170" s="29"/>
    </row>
    <row r="171" spans="25:37" ht="12.75" hidden="1">
      <c r="Y171" s="29"/>
      <c r="Z171" s="29"/>
      <c r="AA171" s="29"/>
      <c r="AB171" s="29"/>
      <c r="AC171" s="29"/>
      <c r="AD171" s="29"/>
      <c r="AE171" s="29"/>
      <c r="AF171" s="29"/>
      <c r="AG171" s="29"/>
      <c r="AH171" s="29"/>
      <c r="AI171" s="29"/>
      <c r="AJ171" s="29"/>
      <c r="AK171" s="29"/>
    </row>
    <row r="172" spans="25:37" ht="12.75" hidden="1">
      <c r="Y172" s="29"/>
      <c r="Z172" s="29"/>
      <c r="AA172" s="29"/>
      <c r="AB172" s="29"/>
      <c r="AC172" s="29"/>
      <c r="AD172" s="29"/>
      <c r="AE172" s="29"/>
      <c r="AF172" s="29"/>
      <c r="AG172" s="29"/>
      <c r="AH172" s="29"/>
      <c r="AI172" s="29"/>
      <c r="AJ172" s="29"/>
      <c r="AK172" s="29"/>
    </row>
    <row r="173" spans="25:37" ht="12.75" hidden="1">
      <c r="Y173" s="29"/>
      <c r="Z173" s="29"/>
      <c r="AA173" s="29"/>
      <c r="AB173" s="29"/>
      <c r="AC173" s="29"/>
      <c r="AD173" s="29"/>
      <c r="AE173" s="29"/>
      <c r="AF173" s="29"/>
      <c r="AG173" s="29"/>
      <c r="AH173" s="29"/>
      <c r="AI173" s="29"/>
      <c r="AJ173" s="29"/>
      <c r="AK173" s="29"/>
    </row>
    <row r="174" spans="25:37" ht="12.75" hidden="1">
      <c r="Y174" s="29"/>
      <c r="Z174" s="29"/>
      <c r="AA174" s="29"/>
      <c r="AB174" s="29"/>
      <c r="AC174" s="29"/>
      <c r="AD174" s="29"/>
      <c r="AE174" s="29"/>
      <c r="AF174" s="29"/>
      <c r="AG174" s="29"/>
      <c r="AH174" s="29"/>
      <c r="AI174" s="29"/>
      <c r="AJ174" s="29"/>
      <c r="AK174" s="29"/>
    </row>
    <row r="175" spans="25:37" ht="12.75" hidden="1">
      <c r="Y175" s="29"/>
      <c r="Z175" s="29"/>
      <c r="AA175" s="29"/>
      <c r="AB175" s="29"/>
      <c r="AC175" s="29"/>
      <c r="AD175" s="29"/>
      <c r="AE175" s="29"/>
      <c r="AF175" s="29"/>
      <c r="AG175" s="29"/>
      <c r="AH175" s="29"/>
      <c r="AI175" s="29"/>
      <c r="AJ175" s="29"/>
      <c r="AK175" s="29"/>
    </row>
    <row r="176" spans="25:37" ht="12.75" hidden="1">
      <c r="Y176" s="29"/>
      <c r="Z176" s="29"/>
      <c r="AA176" s="29"/>
      <c r="AB176" s="29"/>
      <c r="AC176" s="29"/>
      <c r="AD176" s="29"/>
      <c r="AE176" s="29"/>
      <c r="AF176" s="29"/>
      <c r="AG176" s="29"/>
      <c r="AH176" s="29"/>
      <c r="AI176" s="29"/>
      <c r="AJ176" s="29"/>
      <c r="AK176" s="29"/>
    </row>
    <row r="177" spans="25:37" ht="12.75" hidden="1">
      <c r="Y177" s="29"/>
      <c r="Z177" s="29"/>
      <c r="AA177" s="29"/>
      <c r="AB177" s="29"/>
      <c r="AC177" s="29"/>
      <c r="AD177" s="29"/>
      <c r="AE177" s="29"/>
      <c r="AF177" s="29"/>
      <c r="AG177" s="29"/>
      <c r="AH177" s="29"/>
      <c r="AI177" s="29"/>
      <c r="AJ177" s="29"/>
      <c r="AK177" s="29"/>
    </row>
    <row r="178" spans="25:37" ht="12.75" hidden="1">
      <c r="Y178" s="29"/>
      <c r="Z178" s="29"/>
      <c r="AA178" s="29"/>
      <c r="AB178" s="29"/>
      <c r="AC178" s="29"/>
      <c r="AD178" s="29"/>
      <c r="AE178" s="29"/>
      <c r="AF178" s="29"/>
      <c r="AG178" s="29"/>
      <c r="AH178" s="29"/>
      <c r="AI178" s="29"/>
      <c r="AJ178" s="29"/>
      <c r="AK178" s="29"/>
    </row>
    <row r="179" spans="25:37" ht="12.75" hidden="1">
      <c r="Y179" s="29"/>
      <c r="Z179" s="29"/>
      <c r="AA179" s="29"/>
      <c r="AB179" s="29"/>
      <c r="AC179" s="29"/>
      <c r="AD179" s="29"/>
      <c r="AE179" s="29"/>
      <c r="AF179" s="29"/>
      <c r="AG179" s="29"/>
      <c r="AH179" s="29"/>
      <c r="AI179" s="29"/>
      <c r="AJ179" s="29"/>
      <c r="AK179" s="29"/>
    </row>
    <row r="180" spans="25:37" ht="12.75" hidden="1">
      <c r="Y180" s="29"/>
      <c r="Z180" s="29"/>
      <c r="AA180" s="29"/>
      <c r="AB180" s="29"/>
      <c r="AC180" s="29"/>
      <c r="AD180" s="29"/>
      <c r="AE180" s="29"/>
      <c r="AF180" s="29"/>
      <c r="AG180" s="29"/>
      <c r="AH180" s="29"/>
      <c r="AI180" s="29"/>
      <c r="AJ180" s="29"/>
      <c r="AK180" s="29"/>
    </row>
    <row r="181" spans="25:37" ht="12.75" hidden="1">
      <c r="Y181" s="29"/>
      <c r="Z181" s="29"/>
      <c r="AA181" s="29"/>
      <c r="AB181" s="29"/>
      <c r="AC181" s="29"/>
      <c r="AD181" s="29"/>
      <c r="AE181" s="29"/>
      <c r="AF181" s="29"/>
      <c r="AG181" s="29"/>
      <c r="AH181" s="29"/>
      <c r="AI181" s="29"/>
      <c r="AJ181" s="29"/>
      <c r="AK181" s="29"/>
    </row>
    <row r="182" spans="25:37" ht="12.75" hidden="1">
      <c r="Y182" s="29"/>
      <c r="Z182" s="29"/>
      <c r="AA182" s="29"/>
      <c r="AB182" s="29"/>
      <c r="AC182" s="29"/>
      <c r="AD182" s="29"/>
      <c r="AE182" s="29"/>
      <c r="AF182" s="29"/>
      <c r="AG182" s="29"/>
      <c r="AH182" s="29"/>
      <c r="AI182" s="29"/>
      <c r="AJ182" s="29"/>
      <c r="AK182" s="29"/>
    </row>
    <row r="183" spans="25:37" ht="12.75" hidden="1">
      <c r="Y183" s="29"/>
      <c r="Z183" s="29"/>
      <c r="AA183" s="29"/>
      <c r="AB183" s="29"/>
      <c r="AC183" s="29"/>
      <c r="AD183" s="29"/>
      <c r="AE183" s="29"/>
      <c r="AF183" s="29"/>
      <c r="AG183" s="29"/>
      <c r="AH183" s="29"/>
      <c r="AI183" s="29"/>
      <c r="AJ183" s="29"/>
      <c r="AK183" s="29"/>
    </row>
    <row r="184" spans="25:37" ht="12.75" hidden="1">
      <c r="Y184" s="29"/>
      <c r="Z184" s="29"/>
      <c r="AA184" s="29"/>
      <c r="AB184" s="29"/>
      <c r="AC184" s="29"/>
      <c r="AD184" s="29"/>
      <c r="AE184" s="29"/>
      <c r="AF184" s="29"/>
      <c r="AG184" s="29"/>
      <c r="AH184" s="29"/>
      <c r="AI184" s="29"/>
      <c r="AJ184" s="29"/>
      <c r="AK184" s="29"/>
    </row>
    <row r="185" spans="25:37" ht="12.75" hidden="1">
      <c r="Y185" s="29"/>
      <c r="Z185" s="29"/>
      <c r="AA185" s="29"/>
      <c r="AB185" s="29"/>
      <c r="AC185" s="29"/>
      <c r="AD185" s="29"/>
      <c r="AE185" s="29"/>
      <c r="AF185" s="29"/>
      <c r="AG185" s="29"/>
      <c r="AH185" s="29"/>
      <c r="AI185" s="29"/>
      <c r="AJ185" s="29"/>
      <c r="AK185" s="29"/>
    </row>
    <row r="186" spans="25:37" ht="12.75" hidden="1">
      <c r="Y186" s="29"/>
      <c r="Z186" s="29"/>
      <c r="AA186" s="29"/>
      <c r="AB186" s="29"/>
      <c r="AC186" s="29"/>
      <c r="AD186" s="29"/>
      <c r="AE186" s="29"/>
      <c r="AF186" s="29"/>
      <c r="AG186" s="29"/>
      <c r="AH186" s="29"/>
      <c r="AI186" s="29"/>
      <c r="AJ186" s="29"/>
      <c r="AK186" s="29"/>
    </row>
    <row r="187" spans="25:37" ht="12.75" hidden="1">
      <c r="Y187" s="29"/>
      <c r="Z187" s="29"/>
      <c r="AA187" s="29"/>
      <c r="AB187" s="29"/>
      <c r="AC187" s="29"/>
      <c r="AD187" s="29"/>
      <c r="AE187" s="29"/>
      <c r="AF187" s="29"/>
      <c r="AG187" s="29"/>
      <c r="AH187" s="29"/>
      <c r="AI187" s="29"/>
      <c r="AJ187" s="29"/>
      <c r="AK187" s="29"/>
    </row>
    <row r="188" spans="25:37" ht="12.75" hidden="1">
      <c r="Y188" s="29"/>
      <c r="Z188" s="29"/>
      <c r="AA188" s="29"/>
      <c r="AB188" s="29"/>
      <c r="AC188" s="29"/>
      <c r="AD188" s="29"/>
      <c r="AE188" s="29"/>
      <c r="AF188" s="29"/>
      <c r="AG188" s="29"/>
      <c r="AH188" s="29"/>
      <c r="AI188" s="29"/>
      <c r="AJ188" s="29"/>
      <c r="AK188" s="29"/>
    </row>
    <row r="189" spans="25:37" ht="12.75" hidden="1">
      <c r="Y189" s="29"/>
      <c r="Z189" s="29"/>
      <c r="AA189" s="29"/>
      <c r="AB189" s="29"/>
      <c r="AC189" s="29"/>
      <c r="AD189" s="29"/>
      <c r="AE189" s="29"/>
      <c r="AF189" s="29"/>
      <c r="AG189" s="29"/>
      <c r="AH189" s="29"/>
      <c r="AI189" s="29"/>
      <c r="AJ189" s="29"/>
      <c r="AK189" s="29"/>
    </row>
    <row r="190" spans="25:37" ht="12.75" hidden="1">
      <c r="Y190" s="29"/>
      <c r="Z190" s="29"/>
      <c r="AA190" s="29"/>
      <c r="AB190" s="29"/>
      <c r="AC190" s="29"/>
      <c r="AD190" s="29"/>
      <c r="AE190" s="29"/>
      <c r="AF190" s="29"/>
      <c r="AG190" s="29"/>
      <c r="AH190" s="29"/>
      <c r="AI190" s="29"/>
      <c r="AJ190" s="29"/>
      <c r="AK190" s="29"/>
    </row>
    <row r="191" spans="25:37" ht="12.75" hidden="1">
      <c r="Y191" s="29"/>
      <c r="Z191" s="29"/>
      <c r="AA191" s="29"/>
      <c r="AB191" s="29"/>
      <c r="AC191" s="29"/>
      <c r="AD191" s="29"/>
      <c r="AE191" s="29"/>
      <c r="AF191" s="29"/>
      <c r="AG191" s="29"/>
      <c r="AH191" s="29"/>
      <c r="AI191" s="29"/>
      <c r="AJ191" s="29"/>
      <c r="AK191" s="29"/>
    </row>
    <row r="192" spans="25:37" ht="12.75" hidden="1">
      <c r="Y192" s="29"/>
      <c r="Z192" s="29"/>
      <c r="AA192" s="29"/>
      <c r="AB192" s="29"/>
      <c r="AC192" s="29"/>
      <c r="AD192" s="29"/>
      <c r="AE192" s="29"/>
      <c r="AF192" s="29"/>
      <c r="AG192" s="29"/>
      <c r="AH192" s="29"/>
      <c r="AI192" s="29"/>
      <c r="AJ192" s="29"/>
      <c r="AK192" s="29"/>
    </row>
    <row r="193" ht="12.75" hidden="1">
      <c r="AH193" s="5"/>
    </row>
    <row r="194" ht="12.75" hidden="1">
      <c r="AH194" s="5"/>
    </row>
    <row r="195" ht="12.75" hidden="1">
      <c r="AH195" s="5"/>
    </row>
    <row r="196" ht="12.75" hidden="1">
      <c r="AH196" s="5"/>
    </row>
    <row r="197" ht="12.75" hidden="1">
      <c r="AH197" s="5"/>
    </row>
    <row r="198" ht="12.75" hidden="1">
      <c r="AH198" s="5"/>
    </row>
    <row r="199" ht="12.75" hidden="1">
      <c r="AH199" s="5"/>
    </row>
    <row r="200" ht="12.75" hidden="1">
      <c r="AH200" s="5"/>
    </row>
    <row r="201" ht="12.75" hidden="1">
      <c r="AH201" s="5"/>
    </row>
    <row r="202" ht="12.75" hidden="1">
      <c r="AH202" s="5"/>
    </row>
    <row r="203" ht="12.75" hidden="1">
      <c r="AH203" s="5"/>
    </row>
    <row r="204" ht="12.75" hidden="1">
      <c r="AH204" s="5"/>
    </row>
    <row r="205" ht="12.75" hidden="1">
      <c r="AH205" s="5"/>
    </row>
    <row r="206" ht="12.75" hidden="1">
      <c r="AH206" s="5"/>
    </row>
    <row r="207" ht="12.75" hidden="1">
      <c r="AH207" s="5"/>
    </row>
    <row r="208" ht="12.75" hidden="1">
      <c r="AH208" s="5"/>
    </row>
    <row r="209" ht="12.75" hidden="1">
      <c r="AH209" s="5"/>
    </row>
    <row r="210" ht="12.75" hidden="1">
      <c r="AH210" s="5"/>
    </row>
    <row r="211" ht="12.75" hidden="1">
      <c r="AH211" s="5"/>
    </row>
    <row r="212" ht="12.75" hidden="1">
      <c r="AH212" s="5"/>
    </row>
    <row r="213" ht="12.75" hidden="1">
      <c r="AH213" s="5"/>
    </row>
    <row r="214" ht="12.75" hidden="1">
      <c r="AH214" s="5"/>
    </row>
    <row r="215" ht="12.75" hidden="1">
      <c r="AH215" s="5"/>
    </row>
    <row r="216" ht="12.75" hidden="1">
      <c r="AH216" s="5"/>
    </row>
    <row r="217" ht="12.75" hidden="1">
      <c r="AH217" s="5"/>
    </row>
    <row r="218" ht="12.75" hidden="1">
      <c r="AH218" s="5"/>
    </row>
    <row r="219" ht="12.75" hidden="1">
      <c r="AH219" s="5"/>
    </row>
    <row r="220" ht="12.75" hidden="1">
      <c r="AH220" s="5"/>
    </row>
    <row r="221" ht="12.75" hidden="1">
      <c r="AH221" s="5"/>
    </row>
    <row r="222" ht="12.75" hidden="1">
      <c r="AH222" s="5"/>
    </row>
    <row r="223" ht="12.75" hidden="1">
      <c r="AH223" s="5"/>
    </row>
    <row r="224" ht="12.75" hidden="1">
      <c r="AH224" s="5"/>
    </row>
    <row r="225" ht="12.75" hidden="1">
      <c r="AH225" s="5"/>
    </row>
    <row r="226" ht="12.75" hidden="1">
      <c r="AH226" s="5"/>
    </row>
    <row r="227" ht="12.75" hidden="1">
      <c r="AH227" s="5"/>
    </row>
    <row r="228" ht="12.75" hidden="1">
      <c r="AH228" s="5"/>
    </row>
    <row r="229" ht="12.75" hidden="1">
      <c r="AH229" s="5"/>
    </row>
    <row r="230" ht="12.75" hidden="1">
      <c r="AH230" s="5"/>
    </row>
    <row r="231" ht="12.75" hidden="1">
      <c r="AH231" s="5"/>
    </row>
    <row r="232" ht="12.75" hidden="1">
      <c r="AH232" s="5"/>
    </row>
    <row r="233" ht="12.75" hidden="1">
      <c r="AH233" s="5"/>
    </row>
    <row r="234" ht="12.75" hidden="1">
      <c r="AH234" s="5"/>
    </row>
    <row r="235" ht="12.75" hidden="1">
      <c r="AH235" s="5"/>
    </row>
    <row r="236" ht="12.75" hidden="1">
      <c r="AH236" s="5"/>
    </row>
    <row r="237" ht="12.75" hidden="1">
      <c r="AH237" s="5"/>
    </row>
    <row r="238" ht="12.75" hidden="1">
      <c r="AH238" s="5"/>
    </row>
    <row r="239" ht="12.75" hidden="1">
      <c r="AH239" s="5"/>
    </row>
    <row r="240" ht="12.75" hidden="1">
      <c r="AH240" s="5"/>
    </row>
    <row r="241" ht="12.75" hidden="1">
      <c r="AH241" s="5"/>
    </row>
    <row r="242" ht="12.75" hidden="1">
      <c r="AH242" s="5"/>
    </row>
    <row r="243" ht="12.75" hidden="1">
      <c r="AH243" s="5"/>
    </row>
    <row r="244" ht="12.75" hidden="1">
      <c r="AH244" s="5"/>
    </row>
    <row r="245" ht="12.75" hidden="1">
      <c r="AH245" s="5"/>
    </row>
    <row r="246" ht="12.75" hidden="1">
      <c r="AH246" s="5"/>
    </row>
    <row r="247" ht="12.75" hidden="1">
      <c r="AH247" s="5"/>
    </row>
    <row r="248" ht="12.75" hidden="1">
      <c r="AH248" s="5"/>
    </row>
    <row r="249" ht="12.75" hidden="1">
      <c r="AH249" s="5"/>
    </row>
    <row r="250" ht="12.75" hidden="1">
      <c r="AH250" s="5"/>
    </row>
    <row r="251" ht="12.75" hidden="1">
      <c r="AH251" s="5"/>
    </row>
    <row r="252" ht="12.75" hidden="1">
      <c r="AH252" s="5"/>
    </row>
    <row r="253" ht="12.75" hidden="1">
      <c r="AH253" s="5"/>
    </row>
    <row r="254" ht="12.75" hidden="1">
      <c r="AH254" s="5"/>
    </row>
    <row r="255" ht="12.75" hidden="1">
      <c r="AH255" s="5"/>
    </row>
    <row r="256" ht="12.75" hidden="1">
      <c r="AH256" s="5"/>
    </row>
    <row r="257" ht="12.75" hidden="1">
      <c r="AH257" s="5"/>
    </row>
    <row r="258" ht="12.75" hidden="1">
      <c r="AH258" s="5"/>
    </row>
    <row r="259" ht="12.75" hidden="1">
      <c r="AH259" s="5"/>
    </row>
    <row r="260" ht="12.75" hidden="1">
      <c r="AH260" s="5"/>
    </row>
    <row r="261" ht="12.75" hidden="1">
      <c r="AH261" s="5"/>
    </row>
    <row r="262" ht="12.75" hidden="1">
      <c r="AH262" s="5"/>
    </row>
    <row r="263" ht="12.75" hidden="1">
      <c r="AH263" s="5"/>
    </row>
    <row r="264" ht="12.75" hidden="1">
      <c r="AH264" s="5"/>
    </row>
    <row r="265" ht="12.75" hidden="1">
      <c r="AH265" s="5"/>
    </row>
    <row r="266" ht="12.75" hidden="1">
      <c r="AH266" s="5"/>
    </row>
    <row r="267" ht="12.75" hidden="1">
      <c r="AH267" s="5"/>
    </row>
    <row r="268" ht="12.75" hidden="1">
      <c r="AH268" s="5"/>
    </row>
    <row r="269" ht="12.75" hidden="1">
      <c r="AH269" s="5"/>
    </row>
    <row r="270" ht="12.75" hidden="1">
      <c r="AH270" s="5"/>
    </row>
    <row r="271" ht="12.75" hidden="1">
      <c r="AH271" s="5"/>
    </row>
    <row r="272" ht="12.75" hidden="1">
      <c r="AH272" s="5"/>
    </row>
    <row r="273" ht="12.75" hidden="1">
      <c r="AH273" s="5"/>
    </row>
    <row r="274" ht="12.75" hidden="1">
      <c r="AH274" s="5"/>
    </row>
    <row r="275" ht="12.75" hidden="1">
      <c r="AH275" s="5"/>
    </row>
    <row r="276" ht="12.75" hidden="1">
      <c r="AH276" s="5"/>
    </row>
    <row r="277" ht="12.75" hidden="1">
      <c r="AH277" s="5"/>
    </row>
    <row r="278" ht="12.75" hidden="1">
      <c r="AH278" s="5"/>
    </row>
    <row r="279" ht="12.75" hidden="1">
      <c r="AH279" s="5"/>
    </row>
    <row r="280" ht="12.75" hidden="1">
      <c r="AH280" s="5"/>
    </row>
    <row r="281" ht="12.75" hidden="1">
      <c r="AH281" s="5"/>
    </row>
    <row r="282" ht="12.75" hidden="1">
      <c r="AH282" s="5"/>
    </row>
    <row r="283" ht="12.75" hidden="1">
      <c r="AH283" s="5"/>
    </row>
    <row r="284" ht="12.75" hidden="1">
      <c r="AH284" s="5"/>
    </row>
    <row r="285" ht="12.75" hidden="1">
      <c r="AH285" s="5"/>
    </row>
    <row r="286" ht="12.75" hidden="1">
      <c r="AH286" s="5"/>
    </row>
    <row r="287" ht="12.75" hidden="1">
      <c r="AH287" s="5"/>
    </row>
    <row r="288" ht="12.75" hidden="1">
      <c r="AH288" s="5"/>
    </row>
    <row r="289" ht="12.75" hidden="1">
      <c r="AH289" s="5"/>
    </row>
    <row r="290" ht="12.75" hidden="1">
      <c r="AH290" s="5"/>
    </row>
    <row r="291" ht="12.75" hidden="1">
      <c r="AH291" s="5"/>
    </row>
    <row r="292" ht="12.75" hidden="1">
      <c r="AH292" s="5"/>
    </row>
    <row r="293" ht="12.75" hidden="1">
      <c r="AH293" s="5"/>
    </row>
    <row r="294" ht="12.75" hidden="1">
      <c r="AH294" s="5"/>
    </row>
    <row r="295" ht="12.75" hidden="1">
      <c r="AH295" s="5"/>
    </row>
    <row r="296" ht="12.75" hidden="1">
      <c r="AH296" s="5"/>
    </row>
    <row r="297" ht="12.75" hidden="1">
      <c r="AH297" s="5"/>
    </row>
    <row r="298" ht="12.75" hidden="1">
      <c r="AH298" s="5"/>
    </row>
    <row r="299" ht="12.75" hidden="1">
      <c r="AH299" s="5"/>
    </row>
    <row r="300" ht="12.75" hidden="1">
      <c r="AH300" s="5"/>
    </row>
    <row r="301" ht="12.75" hidden="1">
      <c r="AH301" s="5"/>
    </row>
    <row r="302" ht="12.75" hidden="1">
      <c r="AH302" s="5"/>
    </row>
    <row r="303" ht="12.75" hidden="1">
      <c r="AH303" s="5"/>
    </row>
    <row r="304" ht="12.75" hidden="1">
      <c r="AH304" s="5"/>
    </row>
    <row r="305" ht="12.75" hidden="1">
      <c r="AH305" s="5"/>
    </row>
    <row r="306" ht="12.75" hidden="1">
      <c r="AH306" s="5"/>
    </row>
    <row r="307" ht="12.75" hidden="1">
      <c r="AH307" s="5"/>
    </row>
    <row r="308" ht="12.75" hidden="1">
      <c r="AH308" s="5"/>
    </row>
    <row r="309" ht="12.75" hidden="1">
      <c r="AH309" s="5"/>
    </row>
    <row r="310" ht="12.75" hidden="1">
      <c r="AH310" s="5"/>
    </row>
    <row r="311" ht="12.75" hidden="1">
      <c r="AH311" s="5"/>
    </row>
    <row r="312" ht="12.75" hidden="1">
      <c r="AH312" s="5"/>
    </row>
    <row r="313" ht="12.75" hidden="1">
      <c r="AH313" s="5"/>
    </row>
    <row r="314" ht="12.75" hidden="1">
      <c r="AH314" s="5"/>
    </row>
    <row r="315" ht="12.75" hidden="1">
      <c r="AH315" s="5"/>
    </row>
    <row r="316" ht="12.75" hidden="1">
      <c r="AH316" s="5"/>
    </row>
    <row r="317" ht="12.75" hidden="1">
      <c r="AH317" s="5"/>
    </row>
    <row r="318" ht="12.75" hidden="1">
      <c r="AH318" s="5"/>
    </row>
    <row r="319" ht="12.75" hidden="1">
      <c r="AH319" s="5"/>
    </row>
    <row r="320" ht="12.75" hidden="1">
      <c r="AH320" s="5"/>
    </row>
    <row r="321" ht="12.75" hidden="1">
      <c r="AH321" s="5"/>
    </row>
    <row r="322" ht="12.75" hidden="1">
      <c r="AH322" s="5"/>
    </row>
    <row r="323" ht="12.75" hidden="1">
      <c r="AH323" s="5"/>
    </row>
    <row r="324" ht="12.75" hidden="1">
      <c r="AH324" s="5"/>
    </row>
  </sheetData>
  <sheetProtection password="D590" sheet="1" objects="1" scenarios="1" selectLockedCells="1"/>
  <mergeCells count="29">
    <mergeCell ref="C3:T3"/>
    <mergeCell ref="C4:T4"/>
    <mergeCell ref="P5:T5"/>
    <mergeCell ref="P8:Q8"/>
    <mergeCell ref="E9:M9"/>
    <mergeCell ref="J11:M11"/>
    <mergeCell ref="P11:T11"/>
    <mergeCell ref="B14:B36"/>
    <mergeCell ref="O14:P14"/>
    <mergeCell ref="C15:E15"/>
    <mergeCell ref="N15:N16"/>
    <mergeCell ref="F17:L17"/>
    <mergeCell ref="N17:N18"/>
    <mergeCell ref="F19:L19"/>
    <mergeCell ref="N19:N20"/>
    <mergeCell ref="F21:L21"/>
    <mergeCell ref="F23:L23"/>
    <mergeCell ref="F25:L25"/>
    <mergeCell ref="G30:L30"/>
    <mergeCell ref="Y30:AA30"/>
    <mergeCell ref="G32:I32"/>
    <mergeCell ref="J32:T32"/>
    <mergeCell ref="C33:T33"/>
    <mergeCell ref="J35:M35"/>
    <mergeCell ref="C39:T39"/>
    <mergeCell ref="C40:U40"/>
    <mergeCell ref="C41:U41"/>
    <mergeCell ref="C42:U42"/>
    <mergeCell ref="O46:T46"/>
  </mergeCells>
  <dataValidations count="1">
    <dataValidation type="list" allowBlank="1" showInputMessage="1" showErrorMessage="1" sqref="F65536:M65536">
      <formula1>"HEAD MASTER,HEAD MISTRESS,MANDAL EDUCATIONAL OFFICER"</formula1>
    </dataValidation>
  </dataValidations>
  <printOptions horizontalCentered="1"/>
  <pageMargins left="0.26" right="0.118110236220472" top="0.57" bottom="0.32" header="0.45" footer="0.37"/>
  <pageSetup horizontalDpi="180" verticalDpi="18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4"/>
  <dimension ref="B1:K27"/>
  <sheetViews>
    <sheetView showGridLines="0" showRowColHeaders="0" zoomScalePageLayoutView="0" workbookViewId="0" topLeftCell="B1">
      <selection activeCell="H6" sqref="H6"/>
    </sheetView>
  </sheetViews>
  <sheetFormatPr defaultColWidth="0" defaultRowHeight="15" customHeight="1" zeroHeight="1"/>
  <cols>
    <col min="1" max="1" width="4.28125" style="272" customWidth="1"/>
    <col min="2" max="2" width="4.00390625" style="85" customWidth="1"/>
    <col min="3" max="3" width="22.00390625" style="85" customWidth="1"/>
    <col min="4" max="4" width="8.8515625" style="85" customWidth="1"/>
    <col min="5" max="5" width="9.421875" style="85" customWidth="1"/>
    <col min="6" max="6" width="15.00390625" style="85" customWidth="1"/>
    <col min="7" max="7" width="13.28125" style="85" customWidth="1"/>
    <col min="8" max="8" width="11.7109375" style="85" customWidth="1"/>
    <col min="9" max="9" width="9.140625" style="85" customWidth="1"/>
    <col min="10" max="10" width="4.57421875" style="272" customWidth="1"/>
    <col min="11" max="11" width="15.8515625" style="375" customWidth="1"/>
    <col min="12" max="16384" width="9.140625" style="85" hidden="1" customWidth="1"/>
  </cols>
  <sheetData>
    <row r="1" spans="2:9" ht="21" customHeight="1" thickBot="1">
      <c r="B1" s="272"/>
      <c r="C1" s="272"/>
      <c r="D1" s="272"/>
      <c r="E1" s="272"/>
      <c r="F1" s="272"/>
      <c r="G1" s="272"/>
      <c r="H1" s="272"/>
      <c r="I1" s="272"/>
    </row>
    <row r="2" spans="2:9" ht="15">
      <c r="B2" s="494" t="s">
        <v>77</v>
      </c>
      <c r="C2" s="496" t="s">
        <v>78</v>
      </c>
      <c r="D2" s="496" t="s">
        <v>79</v>
      </c>
      <c r="E2" s="496" t="s">
        <v>80</v>
      </c>
      <c r="F2" s="498" t="s">
        <v>81</v>
      </c>
      <c r="G2" s="498" t="s">
        <v>82</v>
      </c>
      <c r="H2" s="498"/>
      <c r="I2" s="486" t="s">
        <v>3</v>
      </c>
    </row>
    <row r="3" spans="2:9" ht="46.5" customHeight="1">
      <c r="B3" s="495" t="s">
        <v>77</v>
      </c>
      <c r="C3" s="497" t="s">
        <v>78</v>
      </c>
      <c r="D3" s="497" t="s">
        <v>79</v>
      </c>
      <c r="E3" s="497" t="s">
        <v>80</v>
      </c>
      <c r="F3" s="499" t="s">
        <v>81</v>
      </c>
      <c r="G3" s="117" t="s">
        <v>299</v>
      </c>
      <c r="H3" s="379" t="s">
        <v>83</v>
      </c>
      <c r="I3" s="487" t="s">
        <v>3</v>
      </c>
    </row>
    <row r="4" spans="2:9" ht="15">
      <c r="B4" s="215" t="s">
        <v>84</v>
      </c>
      <c r="C4" s="118" t="s">
        <v>85</v>
      </c>
      <c r="D4" s="118" t="s">
        <v>86</v>
      </c>
      <c r="E4" s="118" t="s">
        <v>87</v>
      </c>
      <c r="F4" s="118" t="s">
        <v>88</v>
      </c>
      <c r="G4" s="118" t="s">
        <v>89</v>
      </c>
      <c r="H4" s="118" t="s">
        <v>90</v>
      </c>
      <c r="I4" s="216" t="s">
        <v>91</v>
      </c>
    </row>
    <row r="5" spans="2:9" ht="83.25" customHeight="1">
      <c r="B5" s="217">
        <v>1</v>
      </c>
      <c r="C5" s="377" t="str">
        <f>Data!D4&amp;", "&amp;Data!D5</f>
        <v>Bandi Babji, Driver</v>
      </c>
      <c r="D5" s="158"/>
      <c r="E5" s="159"/>
      <c r="F5" s="484" t="str">
        <f>"Proceedings RC No."&amp;Data!C24&amp;" dated."&amp;DAY(Data!C25)&amp;"-"&amp;MONTH(Data!C25)&amp;"-"&amp;YEAR(Data!C25)&amp;" of the "&amp;Data!C22&amp;", "&amp;Data!C23</f>
        <v>Proceedings RC No.2/2011 E dated.13-5-2014 of the District Forest Officer, Kakinada Division, Kakinada</v>
      </c>
      <c r="G5" s="160">
        <f>'Calculation sheet'!AI27</f>
        <v>30000</v>
      </c>
      <c r="H5" s="159"/>
      <c r="I5" s="218"/>
    </row>
    <row r="6" spans="2:9" ht="83.25" customHeight="1">
      <c r="B6" s="219"/>
      <c r="C6" s="378"/>
      <c r="D6" s="161"/>
      <c r="E6" s="162"/>
      <c r="F6" s="485"/>
      <c r="G6" s="162"/>
      <c r="H6" s="162"/>
      <c r="I6" s="220"/>
    </row>
    <row r="7" spans="2:9" ht="51" customHeight="1">
      <c r="B7" s="219"/>
      <c r="C7" s="122"/>
      <c r="D7" s="122"/>
      <c r="E7" s="122"/>
      <c r="F7" s="122"/>
      <c r="G7" s="122"/>
      <c r="H7" s="122"/>
      <c r="I7" s="221"/>
    </row>
    <row r="8" spans="2:9" ht="83.25" customHeight="1">
      <c r="B8" s="219"/>
      <c r="C8" s="120"/>
      <c r="D8" s="121"/>
      <c r="E8" s="119"/>
      <c r="F8" s="121"/>
      <c r="G8" s="119"/>
      <c r="H8" s="119"/>
      <c r="I8" s="222"/>
    </row>
    <row r="9" spans="2:9" ht="15">
      <c r="B9" s="223"/>
      <c r="C9" s="124" t="s">
        <v>9</v>
      </c>
      <c r="D9" s="123"/>
      <c r="E9" s="123"/>
      <c r="F9" s="123"/>
      <c r="G9" s="125">
        <f>G5</f>
        <v>30000</v>
      </c>
      <c r="H9" s="123"/>
      <c r="I9" s="224"/>
    </row>
    <row r="10" spans="2:9" ht="15">
      <c r="B10" s="225"/>
      <c r="C10" s="89"/>
      <c r="D10" s="89"/>
      <c r="E10" s="89"/>
      <c r="F10" s="89"/>
      <c r="G10" s="89"/>
      <c r="H10" s="89"/>
      <c r="I10" s="226"/>
    </row>
    <row r="11" spans="2:9" ht="15">
      <c r="B11" s="225"/>
      <c r="C11" s="89"/>
      <c r="D11" s="89"/>
      <c r="E11" s="89"/>
      <c r="F11" s="89"/>
      <c r="G11" s="89"/>
      <c r="H11" s="89"/>
      <c r="I11" s="226"/>
    </row>
    <row r="12" spans="2:9" ht="15.75">
      <c r="B12" s="225"/>
      <c r="C12" s="89"/>
      <c r="D12" s="89"/>
      <c r="E12" s="89"/>
      <c r="F12" s="89"/>
      <c r="G12" s="227" t="s">
        <v>12</v>
      </c>
      <c r="H12" s="89"/>
      <c r="I12" s="226"/>
    </row>
    <row r="13" spans="2:9" ht="15">
      <c r="B13" s="225"/>
      <c r="C13" s="89"/>
      <c r="D13" s="89"/>
      <c r="E13" s="89"/>
      <c r="F13" s="89"/>
      <c r="G13" s="89"/>
      <c r="H13" s="89"/>
      <c r="I13" s="226"/>
    </row>
    <row r="14" spans="2:9" ht="27" customHeight="1">
      <c r="B14" s="228"/>
      <c r="C14" s="126" t="s">
        <v>97</v>
      </c>
      <c r="D14" s="126"/>
      <c r="E14" s="126"/>
      <c r="F14" s="127" t="str">
        <f>Data!C22&amp;", "&amp;Data!C23</f>
        <v>District Forest Officer, Kakinada Division, Kakinada</v>
      </c>
      <c r="G14" s="127"/>
      <c r="H14" s="127"/>
      <c r="I14" s="229"/>
    </row>
    <row r="15" spans="2:9" ht="15">
      <c r="B15" s="225"/>
      <c r="C15" s="89"/>
      <c r="D15" s="89"/>
      <c r="E15" s="89"/>
      <c r="F15" s="89"/>
      <c r="G15" s="89"/>
      <c r="H15" s="89"/>
      <c r="I15" s="226"/>
    </row>
    <row r="16" spans="2:9" ht="15">
      <c r="B16" s="225"/>
      <c r="C16" s="89" t="s">
        <v>96</v>
      </c>
      <c r="D16" s="89"/>
      <c r="E16" s="89"/>
      <c r="F16" s="89"/>
      <c r="G16" s="89"/>
      <c r="H16" s="89"/>
      <c r="I16" s="226"/>
    </row>
    <row r="17" spans="2:9" ht="15">
      <c r="B17" s="230"/>
      <c r="C17" s="128"/>
      <c r="D17" s="128"/>
      <c r="E17" s="128"/>
      <c r="F17" s="128"/>
      <c r="G17" s="128"/>
      <c r="H17" s="128"/>
      <c r="I17" s="231"/>
    </row>
    <row r="18" spans="2:9" ht="15">
      <c r="B18" s="225"/>
      <c r="C18" s="89"/>
      <c r="D18" s="89"/>
      <c r="E18" s="89"/>
      <c r="F18" s="89"/>
      <c r="G18" s="89"/>
      <c r="H18" s="89"/>
      <c r="I18" s="226"/>
    </row>
    <row r="19" spans="2:9" ht="18.75">
      <c r="B19" s="488" t="s">
        <v>13</v>
      </c>
      <c r="C19" s="489"/>
      <c r="D19" s="489"/>
      <c r="E19" s="489"/>
      <c r="F19" s="489"/>
      <c r="G19" s="489"/>
      <c r="H19" s="489"/>
      <c r="I19" s="490"/>
    </row>
    <row r="20" spans="2:9" ht="21" customHeight="1">
      <c r="B20" s="225" t="s">
        <v>98</v>
      </c>
      <c r="C20" s="89"/>
      <c r="D20" s="89"/>
      <c r="E20" s="89"/>
      <c r="F20" s="89"/>
      <c r="G20" s="89"/>
      <c r="H20" s="89"/>
      <c r="I20" s="226"/>
    </row>
    <row r="21" spans="2:9" ht="21" customHeight="1">
      <c r="B21" s="225" t="s">
        <v>99</v>
      </c>
      <c r="C21" s="89"/>
      <c r="D21" s="89"/>
      <c r="E21" s="89"/>
      <c r="F21" s="89"/>
      <c r="G21" s="89"/>
      <c r="H21" s="89"/>
      <c r="I21" s="226"/>
    </row>
    <row r="22" spans="2:9" ht="21" customHeight="1">
      <c r="B22" s="225" t="s">
        <v>100</v>
      </c>
      <c r="C22" s="89"/>
      <c r="D22" s="89"/>
      <c r="E22" s="89"/>
      <c r="F22" s="89"/>
      <c r="G22" s="89"/>
      <c r="H22" s="89"/>
      <c r="I22" s="226"/>
    </row>
    <row r="23" spans="2:9" ht="15">
      <c r="B23" s="225"/>
      <c r="C23" s="89"/>
      <c r="D23" s="89"/>
      <c r="E23" s="89"/>
      <c r="F23" s="89"/>
      <c r="G23" s="89"/>
      <c r="H23" s="89"/>
      <c r="I23" s="226"/>
    </row>
    <row r="24" spans="2:9" ht="15">
      <c r="B24" s="225" t="s">
        <v>72</v>
      </c>
      <c r="C24" s="89"/>
      <c r="D24" s="89"/>
      <c r="E24" s="89"/>
      <c r="F24" s="89"/>
      <c r="G24" s="89" t="s">
        <v>101</v>
      </c>
      <c r="H24" s="89"/>
      <c r="I24" s="226"/>
    </row>
    <row r="25" spans="2:9" ht="15">
      <c r="B25" s="225"/>
      <c r="C25" s="89"/>
      <c r="D25" s="89"/>
      <c r="E25" s="89"/>
      <c r="F25" s="89"/>
      <c r="G25" s="89"/>
      <c r="H25" s="89"/>
      <c r="I25" s="226"/>
    </row>
    <row r="26" spans="2:9" ht="67.5" customHeight="1" thickBot="1">
      <c r="B26" s="564" t="s">
        <v>14</v>
      </c>
      <c r="C26" s="565"/>
      <c r="D26" s="565"/>
      <c r="E26" s="565"/>
      <c r="F26" s="565"/>
      <c r="G26" s="565"/>
      <c r="H26" s="565"/>
      <c r="I26" s="566"/>
    </row>
    <row r="27" spans="2:11" s="272" customFormat="1" ht="19.5" customHeight="1">
      <c r="B27" s="272" t="s">
        <v>72</v>
      </c>
      <c r="K27" s="375"/>
    </row>
  </sheetData>
  <sheetProtection password="D590" sheet="1" objects="1" scenarios="1" selectLockedCells="1"/>
  <mergeCells count="10">
    <mergeCell ref="I2:I3"/>
    <mergeCell ref="F5:F6"/>
    <mergeCell ref="B19:I19"/>
    <mergeCell ref="B26:I26"/>
    <mergeCell ref="B2:B3"/>
    <mergeCell ref="C2:C3"/>
    <mergeCell ref="D2:D3"/>
    <mergeCell ref="E2:E3"/>
    <mergeCell ref="F2:F3"/>
    <mergeCell ref="G2:H2"/>
  </mergeCells>
  <printOptions/>
  <pageMargins left="0.5" right="0.53" top="0.52" bottom="0.52"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BE142"/>
  <sheetViews>
    <sheetView showGridLines="0" showRowColHeaders="0" zoomScalePageLayoutView="0" workbookViewId="0" topLeftCell="A1">
      <selection activeCell="B27" sqref="B27:AG28"/>
    </sheetView>
  </sheetViews>
  <sheetFormatPr defaultColWidth="0" defaultRowHeight="12.75" customHeight="1" zeroHeight="1"/>
  <cols>
    <col min="1" max="1" width="5.00390625" style="307" customWidth="1"/>
    <col min="2" max="2" width="11.7109375" style="62" customWidth="1"/>
    <col min="3" max="3" width="4.00390625" style="62" customWidth="1"/>
    <col min="4" max="4" width="0.42578125" style="62" customWidth="1"/>
    <col min="5" max="5" width="4.140625" style="62" customWidth="1"/>
    <col min="6" max="6" width="0.42578125" style="62" customWidth="1"/>
    <col min="7" max="7" width="4.00390625" style="62" customWidth="1"/>
    <col min="8" max="8" width="0.42578125" style="62" customWidth="1"/>
    <col min="9" max="9" width="4.00390625" style="62" customWidth="1"/>
    <col min="10" max="10" width="0.42578125" style="62" customWidth="1"/>
    <col min="11" max="11" width="4.00390625" style="62" customWidth="1"/>
    <col min="12" max="12" width="1.7109375" style="62" customWidth="1"/>
    <col min="13" max="13" width="4.00390625" style="62" customWidth="1"/>
    <col min="14" max="14" width="0.42578125" style="62" customWidth="1"/>
    <col min="15" max="15" width="4.140625" style="62" customWidth="1"/>
    <col min="16" max="16" width="0.42578125" style="62" customWidth="1"/>
    <col min="17" max="17" width="1.7109375" style="62" customWidth="1"/>
    <col min="18" max="18" width="3.00390625" style="62" customWidth="1"/>
    <col min="19" max="19" width="1.7109375" style="62" customWidth="1"/>
    <col min="20" max="20" width="0.42578125" style="62" customWidth="1"/>
    <col min="21" max="21" width="4.00390625" style="62" customWidth="1"/>
    <col min="22" max="22" width="0.42578125" style="62" customWidth="1"/>
    <col min="23" max="23" width="4.00390625" style="62" customWidth="1"/>
    <col min="24" max="24" width="0.42578125" style="62" customWidth="1"/>
    <col min="25" max="25" width="1.28515625" style="62" customWidth="1"/>
    <col min="26" max="26" width="3.140625" style="62" customWidth="1"/>
    <col min="27" max="27" width="0.42578125" style="62" customWidth="1"/>
    <col min="28" max="28" width="0.85546875" style="62" customWidth="1"/>
    <col min="29" max="29" width="0.42578125" style="62" customWidth="1"/>
    <col min="30" max="30" width="2.8515625" style="62" customWidth="1"/>
    <col min="31" max="31" width="0.42578125" style="62" customWidth="1"/>
    <col min="32" max="32" width="0.85546875" style="62" customWidth="1"/>
    <col min="33" max="33" width="3.8515625" style="62" customWidth="1"/>
    <col min="34" max="34" width="1.1484375" style="62" customWidth="1"/>
    <col min="35" max="36" width="0" style="62" hidden="1" customWidth="1"/>
    <col min="37" max="37" width="7.140625" style="62" customWidth="1"/>
    <col min="38" max="38" width="6.7109375" style="62" customWidth="1"/>
    <col min="39" max="39" width="12.140625" style="62" customWidth="1"/>
    <col min="40" max="40" width="4.421875" style="62" hidden="1" customWidth="1"/>
    <col min="41" max="41" width="9.140625" style="62" customWidth="1"/>
    <col min="42" max="42" width="7.28125" style="62" customWidth="1"/>
    <col min="43" max="43" width="9.140625" style="62" customWidth="1"/>
    <col min="44" max="44" width="7.28125" style="62" customWidth="1"/>
    <col min="45" max="45" width="7.00390625" style="62" customWidth="1"/>
    <col min="46" max="46" width="7.421875" style="62" customWidth="1"/>
    <col min="47" max="47" width="12.28125" style="62" customWidth="1"/>
    <col min="48" max="48" width="4.7109375" style="307" customWidth="1"/>
    <col min="49" max="49" width="14.00390625" style="364" customWidth="1"/>
    <col min="50" max="51" width="9.140625" style="62" hidden="1" customWidth="1"/>
    <col min="52" max="52" width="9.140625" style="1" hidden="1" customWidth="1"/>
    <col min="53" max="53" width="12.421875" style="1" hidden="1" customWidth="1"/>
    <col min="54" max="54" width="9.57421875" style="1" hidden="1" customWidth="1"/>
    <col min="55" max="57" width="9.140625" style="1" hidden="1" customWidth="1"/>
    <col min="58" max="16384" width="9.140625" style="62" hidden="1" customWidth="1"/>
  </cols>
  <sheetData>
    <row r="1" spans="49:57" s="307" customFormat="1" ht="22.5" customHeight="1" thickBot="1">
      <c r="AW1" s="364"/>
      <c r="AZ1" s="262"/>
      <c r="BA1" s="262"/>
      <c r="BB1" s="262"/>
      <c r="BC1" s="262"/>
      <c r="BD1" s="262"/>
      <c r="BE1" s="262"/>
    </row>
    <row r="2" spans="2:51" ht="20.25">
      <c r="B2" s="559" t="s">
        <v>168</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1"/>
      <c r="AJ2" s="62">
        <f>'[1]Annexure I'!E9</f>
        <v>14530</v>
      </c>
      <c r="AM2" s="556" t="s">
        <v>169</v>
      </c>
      <c r="AN2" s="557"/>
      <c r="AO2" s="557"/>
      <c r="AP2" s="557"/>
      <c r="AQ2" s="557"/>
      <c r="AR2" s="557"/>
      <c r="AS2" s="557"/>
      <c r="AT2" s="557"/>
      <c r="AU2" s="558"/>
      <c r="AY2" s="62">
        <f>'[1]Annexure I'!AN9</f>
        <v>0</v>
      </c>
    </row>
    <row r="3" spans="2:51" ht="15" customHeight="1">
      <c r="B3" s="273"/>
      <c r="C3" s="274"/>
      <c r="D3" s="274"/>
      <c r="E3" s="274"/>
      <c r="F3" s="274"/>
      <c r="G3" s="274"/>
      <c r="H3" s="274"/>
      <c r="I3" s="275"/>
      <c r="J3" s="274"/>
      <c r="K3" s="309" t="s">
        <v>170</v>
      </c>
      <c r="L3" s="310"/>
      <c r="M3" s="310"/>
      <c r="N3" s="310"/>
      <c r="O3" s="311"/>
      <c r="P3" s="274"/>
      <c r="Q3" s="274"/>
      <c r="R3" s="274"/>
      <c r="S3" s="274"/>
      <c r="T3" s="275"/>
      <c r="U3" s="275"/>
      <c r="V3" s="275"/>
      <c r="W3" s="275"/>
      <c r="X3" s="275"/>
      <c r="Y3" s="275"/>
      <c r="Z3" s="275"/>
      <c r="AA3" s="275"/>
      <c r="AB3" s="275"/>
      <c r="AC3" s="275"/>
      <c r="AD3" s="275"/>
      <c r="AE3" s="275"/>
      <c r="AF3" s="275"/>
      <c r="AG3" s="276"/>
      <c r="AJ3" s="62">
        <f>'[1]Annexure I'!E30</f>
        <v>691</v>
      </c>
      <c r="AM3" s="508" t="s">
        <v>171</v>
      </c>
      <c r="AN3" s="509"/>
      <c r="AO3" s="509"/>
      <c r="AP3" s="509"/>
      <c r="AQ3" s="509"/>
      <c r="AR3" s="509"/>
      <c r="AS3" s="509"/>
      <c r="AT3" s="509"/>
      <c r="AU3" s="276"/>
      <c r="AY3" s="62">
        <f>'[1]Annexure I'!AN30</f>
        <v>0</v>
      </c>
    </row>
    <row r="4" spans="2:47" ht="12" customHeight="1">
      <c r="B4" s="273"/>
      <c r="C4" s="274"/>
      <c r="D4" s="274"/>
      <c r="E4" s="274"/>
      <c r="F4" s="274"/>
      <c r="G4" s="274"/>
      <c r="H4" s="274"/>
      <c r="I4" s="277"/>
      <c r="J4" s="277"/>
      <c r="K4" s="277"/>
      <c r="L4" s="277"/>
      <c r="M4" s="277"/>
      <c r="N4" s="277"/>
      <c r="O4" s="277"/>
      <c r="P4" s="277"/>
      <c r="Q4" s="277"/>
      <c r="R4" s="277"/>
      <c r="S4" s="277"/>
      <c r="T4" s="275"/>
      <c r="U4" s="275"/>
      <c r="V4" s="275"/>
      <c r="W4" s="275"/>
      <c r="X4" s="275"/>
      <c r="Y4" s="275"/>
      <c r="Z4" s="275"/>
      <c r="AA4" s="275"/>
      <c r="AB4" s="275"/>
      <c r="AC4" s="275"/>
      <c r="AD4" s="275"/>
      <c r="AE4" s="275"/>
      <c r="AF4" s="275"/>
      <c r="AG4" s="276"/>
      <c r="AM4" s="508" t="s">
        <v>172</v>
      </c>
      <c r="AN4" s="509"/>
      <c r="AO4" s="509"/>
      <c r="AP4" s="509"/>
      <c r="AQ4" s="509"/>
      <c r="AR4" s="509"/>
      <c r="AS4" s="509"/>
      <c r="AT4" s="509"/>
      <c r="AU4" s="276"/>
    </row>
    <row r="5" spans="1:57" s="65" customFormat="1" ht="20.25" customHeight="1">
      <c r="A5" s="308"/>
      <c r="B5" s="278" t="s">
        <v>173</v>
      </c>
      <c r="C5" s="66" t="str">
        <f>AZ45</f>
        <v>0</v>
      </c>
      <c r="D5" s="77"/>
      <c r="E5" s="66" t="str">
        <f>BA45</f>
        <v>3</v>
      </c>
      <c r="F5" s="77"/>
      <c r="G5" s="66" t="str">
        <f>BB45</f>
        <v>0</v>
      </c>
      <c r="H5" s="77"/>
      <c r="I5" s="66" t="str">
        <f>BC45</f>
        <v>1</v>
      </c>
      <c r="J5" s="70"/>
      <c r="K5" s="70"/>
      <c r="L5" s="70"/>
      <c r="M5" s="70"/>
      <c r="N5" s="70"/>
      <c r="O5" s="67"/>
      <c r="P5" s="68"/>
      <c r="Q5" s="68"/>
      <c r="R5" s="68"/>
      <c r="S5" s="68"/>
      <c r="T5" s="68"/>
      <c r="U5" s="68"/>
      <c r="V5" s="68"/>
      <c r="W5" s="562" t="s">
        <v>174</v>
      </c>
      <c r="X5" s="562"/>
      <c r="Y5" s="562"/>
      <c r="Z5" s="562"/>
      <c r="AA5" s="562"/>
      <c r="AB5" s="562"/>
      <c r="AC5" s="562"/>
      <c r="AD5" s="562"/>
      <c r="AE5" s="562"/>
      <c r="AF5" s="562"/>
      <c r="AG5" s="563"/>
      <c r="AM5" s="278"/>
      <c r="AN5" s="70"/>
      <c r="AO5" s="70"/>
      <c r="AP5" s="70"/>
      <c r="AQ5" s="70"/>
      <c r="AR5" s="70"/>
      <c r="AS5" s="70"/>
      <c r="AT5" s="70"/>
      <c r="AU5" s="276"/>
      <c r="AV5" s="307"/>
      <c r="AW5" s="364"/>
      <c r="AX5" s="62"/>
      <c r="AY5" s="62"/>
      <c r="AZ5" s="1"/>
      <c r="BA5" s="1"/>
      <c r="BB5" s="1"/>
      <c r="BC5" s="1"/>
      <c r="BD5" s="1"/>
      <c r="BE5" s="1"/>
    </row>
    <row r="6" spans="1:57" s="65" customFormat="1" ht="19.5" customHeight="1">
      <c r="A6" s="308"/>
      <c r="B6" s="279" t="s">
        <v>175</v>
      </c>
      <c r="C6" s="542" t="str">
        <f>Data!C20</f>
        <v>DTO, Kakinada</v>
      </c>
      <c r="D6" s="542"/>
      <c r="E6" s="542"/>
      <c r="F6" s="542"/>
      <c r="G6" s="542"/>
      <c r="H6" s="542"/>
      <c r="I6" s="542"/>
      <c r="J6" s="542"/>
      <c r="K6" s="542"/>
      <c r="L6" s="542"/>
      <c r="M6" s="70"/>
      <c r="N6" s="70"/>
      <c r="O6" s="69" t="s">
        <v>176</v>
      </c>
      <c r="P6" s="70"/>
      <c r="Q6" s="70"/>
      <c r="R6" s="70"/>
      <c r="S6" s="543"/>
      <c r="T6" s="543"/>
      <c r="U6" s="543"/>
      <c r="V6" s="543"/>
      <c r="W6" s="543"/>
      <c r="X6" s="543"/>
      <c r="Y6" s="543"/>
      <c r="Z6" s="543"/>
      <c r="AA6" s="543"/>
      <c r="AB6" s="543"/>
      <c r="AC6" s="543"/>
      <c r="AD6" s="543"/>
      <c r="AE6" s="70"/>
      <c r="AF6" s="70"/>
      <c r="AG6" s="280"/>
      <c r="AM6" s="295" t="s">
        <v>177</v>
      </c>
      <c r="AN6" s="296"/>
      <c r="AO6" s="297" t="str">
        <f>Data!$C$26</f>
        <v>03010402001</v>
      </c>
      <c r="AP6" s="275"/>
      <c r="AQ6" s="275"/>
      <c r="AR6" s="298" t="str">
        <f>"Treasury / PAO Code  : "&amp;LEFT(Data!C26,4)</f>
        <v>Treasury / PAO Code  : 0301</v>
      </c>
      <c r="AS6" s="275"/>
      <c r="AT6" s="275"/>
      <c r="AU6" s="276"/>
      <c r="AV6" s="307"/>
      <c r="AW6" s="364"/>
      <c r="AX6" s="62"/>
      <c r="AY6" s="62"/>
      <c r="AZ6" s="1"/>
      <c r="BA6" s="1"/>
      <c r="BB6" s="1"/>
      <c r="BC6" s="1"/>
      <c r="BD6" s="1"/>
      <c r="BE6" s="1"/>
    </row>
    <row r="7" spans="1:57" s="65" customFormat="1" ht="6.75" customHeight="1">
      <c r="A7" s="308"/>
      <c r="B7" s="278"/>
      <c r="C7" s="70"/>
      <c r="D7" s="70"/>
      <c r="E7" s="70"/>
      <c r="F7" s="70"/>
      <c r="G7" s="70"/>
      <c r="H7" s="70"/>
      <c r="I7" s="70"/>
      <c r="J7" s="70"/>
      <c r="K7" s="70"/>
      <c r="L7" s="70"/>
      <c r="M7" s="70"/>
      <c r="N7" s="70"/>
      <c r="O7" s="72"/>
      <c r="P7" s="70"/>
      <c r="Q7" s="70"/>
      <c r="R7" s="70"/>
      <c r="S7" s="70"/>
      <c r="T7" s="70"/>
      <c r="U7" s="70"/>
      <c r="V7" s="70"/>
      <c r="W7" s="73"/>
      <c r="X7" s="73"/>
      <c r="Y7" s="73"/>
      <c r="Z7" s="73"/>
      <c r="AA7" s="73"/>
      <c r="AB7" s="73"/>
      <c r="AC7" s="73"/>
      <c r="AD7" s="73"/>
      <c r="AE7" s="70"/>
      <c r="AF7" s="70"/>
      <c r="AG7" s="280"/>
      <c r="AM7" s="278"/>
      <c r="AN7" s="70"/>
      <c r="AO7" s="70"/>
      <c r="AP7" s="70"/>
      <c r="AQ7" s="275"/>
      <c r="AR7" s="70"/>
      <c r="AS7" s="298"/>
      <c r="AT7" s="299"/>
      <c r="AU7" s="276"/>
      <c r="AV7" s="307"/>
      <c r="AW7" s="364"/>
      <c r="AX7" s="62"/>
      <c r="AY7" s="62"/>
      <c r="AZ7" s="1"/>
      <c r="BA7" s="1"/>
      <c r="BB7" s="1"/>
      <c r="BC7" s="1"/>
      <c r="BD7" s="1"/>
      <c r="BE7" s="1"/>
    </row>
    <row r="8" spans="1:57" s="65" customFormat="1" ht="24" customHeight="1">
      <c r="A8" s="308"/>
      <c r="B8" s="278" t="s">
        <v>178</v>
      </c>
      <c r="C8" s="546" t="str">
        <f>Data!$C$26</f>
        <v>03010402001</v>
      </c>
      <c r="D8" s="547"/>
      <c r="E8" s="547"/>
      <c r="F8" s="547"/>
      <c r="G8" s="547"/>
      <c r="H8" s="547"/>
      <c r="I8" s="548"/>
      <c r="J8" s="70"/>
      <c r="K8" s="70"/>
      <c r="L8" s="70"/>
      <c r="M8" s="70"/>
      <c r="N8" s="70"/>
      <c r="O8" s="69" t="s">
        <v>23</v>
      </c>
      <c r="P8" s="70"/>
      <c r="Q8" s="70"/>
      <c r="R8" s="70"/>
      <c r="S8" s="70"/>
      <c r="T8" s="71"/>
      <c r="U8" s="532"/>
      <c r="V8" s="534"/>
      <c r="W8" s="534"/>
      <c r="X8" s="534"/>
      <c r="Y8" s="534"/>
      <c r="Z8" s="534"/>
      <c r="AA8" s="534"/>
      <c r="AB8" s="534"/>
      <c r="AC8" s="534"/>
      <c r="AD8" s="533"/>
      <c r="AE8" s="70"/>
      <c r="AF8" s="70"/>
      <c r="AG8" s="280"/>
      <c r="AM8" s="300" t="s">
        <v>179</v>
      </c>
      <c r="AN8" s="298"/>
      <c r="AO8" s="301" t="str">
        <f>E10&amp;", "&amp;S10</f>
        <v>District Forest Officer, Kakinada Division, Kakinada</v>
      </c>
      <c r="AP8" s="298"/>
      <c r="AQ8" s="298"/>
      <c r="AR8" s="555" t="s">
        <v>180</v>
      </c>
      <c r="AS8" s="555"/>
      <c r="AT8" s="550" t="str">
        <f>Data!C20</f>
        <v>DTO, Kakinada</v>
      </c>
      <c r="AU8" s="551"/>
      <c r="AV8" s="307"/>
      <c r="AW8" s="364"/>
      <c r="AX8" s="62"/>
      <c r="AY8" s="62"/>
      <c r="AZ8" s="1"/>
      <c r="BA8" s="1"/>
      <c r="BB8" s="1"/>
      <c r="BC8" s="1"/>
      <c r="BD8" s="1"/>
      <c r="BE8" s="1"/>
    </row>
    <row r="9" spans="1:57" s="65" customFormat="1" ht="3.75" customHeight="1">
      <c r="A9" s="308"/>
      <c r="B9" s="278"/>
      <c r="C9" s="70"/>
      <c r="D9" s="70"/>
      <c r="E9" s="70"/>
      <c r="F9" s="70"/>
      <c r="G9" s="70"/>
      <c r="H9" s="70"/>
      <c r="I9" s="70"/>
      <c r="J9" s="70"/>
      <c r="K9" s="70"/>
      <c r="L9" s="70"/>
      <c r="M9" s="70"/>
      <c r="N9" s="70"/>
      <c r="O9" s="74"/>
      <c r="P9" s="73"/>
      <c r="Q9" s="73"/>
      <c r="R9" s="73"/>
      <c r="S9" s="73"/>
      <c r="T9" s="73"/>
      <c r="U9" s="73"/>
      <c r="V9" s="73"/>
      <c r="W9" s="73"/>
      <c r="X9" s="73"/>
      <c r="Y9" s="73"/>
      <c r="Z9" s="73"/>
      <c r="AA9" s="73"/>
      <c r="AB9" s="73"/>
      <c r="AC9" s="73"/>
      <c r="AD9" s="75"/>
      <c r="AE9" s="73"/>
      <c r="AF9" s="73"/>
      <c r="AG9" s="281"/>
      <c r="AM9" s="302"/>
      <c r="AN9" s="298"/>
      <c r="AO9" s="303"/>
      <c r="AP9" s="298"/>
      <c r="AQ9" s="298"/>
      <c r="AR9" s="298"/>
      <c r="AS9" s="298"/>
      <c r="AT9" s="298"/>
      <c r="AU9" s="276"/>
      <c r="AV9" s="307"/>
      <c r="AW9" s="364"/>
      <c r="AX9" s="62"/>
      <c r="AY9" s="62"/>
      <c r="AZ9" s="1"/>
      <c r="BA9" s="1"/>
      <c r="BB9" s="1"/>
      <c r="BC9" s="1"/>
      <c r="BD9" s="1"/>
      <c r="BE9" s="1"/>
    </row>
    <row r="10" spans="1:57" s="65" customFormat="1" ht="23.25" customHeight="1">
      <c r="A10" s="308"/>
      <c r="B10" s="279" t="s">
        <v>167</v>
      </c>
      <c r="C10" s="70"/>
      <c r="D10" s="70"/>
      <c r="E10" s="214" t="str">
        <f>Data!C22</f>
        <v>District Forest Officer</v>
      </c>
      <c r="F10" s="213"/>
      <c r="G10" s="213"/>
      <c r="H10" s="213"/>
      <c r="I10" s="213"/>
      <c r="J10" s="70"/>
      <c r="K10" s="70"/>
      <c r="L10" s="70"/>
      <c r="M10" s="554" t="s">
        <v>181</v>
      </c>
      <c r="N10" s="554"/>
      <c r="O10" s="554"/>
      <c r="P10" s="554"/>
      <c r="Q10" s="554"/>
      <c r="R10" s="554"/>
      <c r="S10" s="552" t="str">
        <f>Data!C23</f>
        <v>Kakinada Division, Kakinada</v>
      </c>
      <c r="T10" s="552"/>
      <c r="U10" s="552"/>
      <c r="V10" s="552"/>
      <c r="W10" s="552"/>
      <c r="X10" s="552"/>
      <c r="Y10" s="552"/>
      <c r="Z10" s="552"/>
      <c r="AA10" s="552"/>
      <c r="AB10" s="552"/>
      <c r="AC10" s="552"/>
      <c r="AD10" s="552"/>
      <c r="AE10" s="552"/>
      <c r="AF10" s="552"/>
      <c r="AG10" s="553"/>
      <c r="AM10" s="291" t="s">
        <v>182</v>
      </c>
      <c r="AN10" s="275"/>
      <c r="AO10" s="275"/>
      <c r="AP10" s="275"/>
      <c r="AQ10" s="275"/>
      <c r="AR10" s="275"/>
      <c r="AS10" s="275"/>
      <c r="AT10" s="275"/>
      <c r="AU10" s="276"/>
      <c r="AV10" s="307"/>
      <c r="AW10" s="364"/>
      <c r="AX10" s="62"/>
      <c r="AY10" s="62"/>
      <c r="AZ10" s="1"/>
      <c r="BA10" s="1"/>
      <c r="BB10" s="1"/>
      <c r="BC10" s="1"/>
      <c r="BD10" s="1"/>
      <c r="BE10" s="1"/>
    </row>
    <row r="11" spans="1:57" s="65" customFormat="1" ht="6.75" customHeight="1">
      <c r="A11" s="308"/>
      <c r="B11" s="278"/>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280"/>
      <c r="AM11" s="278"/>
      <c r="AN11" s="275"/>
      <c r="AO11" s="275"/>
      <c r="AP11" s="275"/>
      <c r="AQ11" s="275"/>
      <c r="AR11" s="275"/>
      <c r="AS11" s="275"/>
      <c r="AT11" s="275"/>
      <c r="AU11" s="276"/>
      <c r="AV11" s="307"/>
      <c r="AW11" s="364"/>
      <c r="AX11" s="62"/>
      <c r="AY11" s="62"/>
      <c r="AZ11" s="1"/>
      <c r="BA11" s="1"/>
      <c r="BB11" s="1"/>
      <c r="BC11" s="1"/>
      <c r="BD11" s="1"/>
      <c r="BE11" s="1"/>
    </row>
    <row r="12" spans="1:57" s="65" customFormat="1" ht="24" customHeight="1">
      <c r="A12" s="308"/>
      <c r="B12" s="278" t="s">
        <v>183</v>
      </c>
      <c r="C12" s="70"/>
      <c r="D12" s="70"/>
      <c r="E12" s="546" t="str">
        <f>Data!$C$28</f>
        <v>01425</v>
      </c>
      <c r="F12" s="547"/>
      <c r="G12" s="547"/>
      <c r="H12" s="547"/>
      <c r="I12" s="548"/>
      <c r="J12" s="70"/>
      <c r="K12" s="282" t="s">
        <v>184</v>
      </c>
      <c r="L12" s="70"/>
      <c r="M12" s="70"/>
      <c r="N12" s="70"/>
      <c r="O12" s="542" t="str">
        <f>Data!C29</f>
        <v>SBI, Try. Branch, Kakinada</v>
      </c>
      <c r="P12" s="542"/>
      <c r="Q12" s="542"/>
      <c r="R12" s="542"/>
      <c r="S12" s="542"/>
      <c r="T12" s="542"/>
      <c r="U12" s="542"/>
      <c r="V12" s="542"/>
      <c r="W12" s="542"/>
      <c r="X12" s="542"/>
      <c r="Y12" s="542"/>
      <c r="Z12" s="542"/>
      <c r="AA12" s="542"/>
      <c r="AB12" s="542"/>
      <c r="AC12" s="542"/>
      <c r="AD12" s="542"/>
      <c r="AE12" s="542"/>
      <c r="AF12" s="542"/>
      <c r="AG12" s="549"/>
      <c r="AM12" s="291" t="s">
        <v>185</v>
      </c>
      <c r="AN12" s="70"/>
      <c r="AO12" s="70"/>
      <c r="AP12" s="70"/>
      <c r="AQ12" s="275"/>
      <c r="AR12" s="275"/>
      <c r="AS12" s="275"/>
      <c r="AT12" s="275"/>
      <c r="AU12" s="276"/>
      <c r="AV12" s="307"/>
      <c r="AW12" s="364"/>
      <c r="AX12" s="62"/>
      <c r="AY12" s="62"/>
      <c r="BD12" s="1"/>
      <c r="BE12" s="1"/>
    </row>
    <row r="13" spans="1:57" s="65" customFormat="1" ht="7.5" customHeight="1">
      <c r="A13" s="308"/>
      <c r="B13" s="278"/>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280"/>
      <c r="AM13" s="278"/>
      <c r="AN13" s="70"/>
      <c r="AO13" s="70"/>
      <c r="AP13" s="70"/>
      <c r="AQ13" s="275"/>
      <c r="AR13" s="275"/>
      <c r="AS13" s="275"/>
      <c r="AT13" s="275"/>
      <c r="AU13" s="276"/>
      <c r="AV13" s="307"/>
      <c r="AW13" s="364"/>
      <c r="AX13" s="62"/>
      <c r="AY13" s="62"/>
      <c r="BD13" s="1"/>
      <c r="BE13" s="1"/>
    </row>
    <row r="14" spans="1:57" s="65" customFormat="1" ht="20.25" customHeight="1">
      <c r="A14" s="308"/>
      <c r="B14" s="278" t="s">
        <v>186</v>
      </c>
      <c r="C14" s="70"/>
      <c r="D14" s="70"/>
      <c r="E14" s="66">
        <v>8</v>
      </c>
      <c r="F14" s="77"/>
      <c r="G14" s="66">
        <v>0</v>
      </c>
      <c r="H14" s="77"/>
      <c r="I14" s="66">
        <v>1</v>
      </c>
      <c r="J14" s="77"/>
      <c r="K14" s="66">
        <v>1</v>
      </c>
      <c r="L14" s="77"/>
      <c r="M14" s="66">
        <v>0</v>
      </c>
      <c r="N14" s="77"/>
      <c r="O14" s="66">
        <v>0</v>
      </c>
      <c r="P14" s="77"/>
      <c r="Q14" s="77"/>
      <c r="R14" s="532">
        <v>1</v>
      </c>
      <c r="S14" s="533"/>
      <c r="T14" s="77"/>
      <c r="U14" s="66">
        <v>0</v>
      </c>
      <c r="V14" s="77"/>
      <c r="W14" s="66">
        <v>7</v>
      </c>
      <c r="X14" s="77"/>
      <c r="Y14" s="77"/>
      <c r="Z14" s="532">
        <v>0</v>
      </c>
      <c r="AA14" s="534"/>
      <c r="AB14" s="533"/>
      <c r="AC14" s="76"/>
      <c r="AD14" s="532">
        <v>0</v>
      </c>
      <c r="AE14" s="534"/>
      <c r="AF14" s="533"/>
      <c r="AG14" s="283"/>
      <c r="AM14" s="304" t="s">
        <v>187</v>
      </c>
      <c r="AN14" s="78" t="s">
        <v>188</v>
      </c>
      <c r="AO14" s="78"/>
      <c r="AP14" s="79"/>
      <c r="AQ14" s="275"/>
      <c r="AR14" s="275"/>
      <c r="AS14" s="275"/>
      <c r="AT14" s="275"/>
      <c r="AU14" s="276"/>
      <c r="AV14" s="307"/>
      <c r="AW14" s="364"/>
      <c r="AX14" s="62"/>
      <c r="AY14" s="62"/>
      <c r="BD14" s="1"/>
      <c r="BE14" s="1"/>
    </row>
    <row r="15" spans="1:57" s="65" customFormat="1" ht="3.75" customHeight="1">
      <c r="A15" s="308"/>
      <c r="B15" s="278"/>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280"/>
      <c r="AM15" s="278"/>
      <c r="AN15" s="70"/>
      <c r="AO15" s="70"/>
      <c r="AP15" s="70"/>
      <c r="AQ15" s="70"/>
      <c r="AR15" s="70"/>
      <c r="AS15" s="70"/>
      <c r="AT15" s="70"/>
      <c r="AU15" s="280"/>
      <c r="AV15" s="307"/>
      <c r="AW15" s="364"/>
      <c r="AX15" s="62"/>
      <c r="AY15" s="62"/>
      <c r="BD15" s="1"/>
      <c r="BE15" s="1"/>
    </row>
    <row r="16" spans="1:57" s="65" customFormat="1" ht="12" customHeight="1">
      <c r="A16" s="308"/>
      <c r="B16" s="278"/>
      <c r="C16" s="70"/>
      <c r="D16" s="70"/>
      <c r="E16" s="540" t="s">
        <v>189</v>
      </c>
      <c r="F16" s="540"/>
      <c r="G16" s="540"/>
      <c r="H16" s="540"/>
      <c r="I16" s="540"/>
      <c r="J16" s="540"/>
      <c r="K16" s="540"/>
      <c r="L16" s="70"/>
      <c r="M16" s="540" t="s">
        <v>190</v>
      </c>
      <c r="N16" s="541"/>
      <c r="O16" s="541"/>
      <c r="P16" s="70"/>
      <c r="Q16" s="70"/>
      <c r="R16" s="510" t="s">
        <v>191</v>
      </c>
      <c r="S16" s="512"/>
      <c r="T16" s="512"/>
      <c r="U16" s="512"/>
      <c r="V16" s="512"/>
      <c r="W16" s="512"/>
      <c r="X16" s="70"/>
      <c r="Y16" s="70"/>
      <c r="Z16" s="510" t="s">
        <v>192</v>
      </c>
      <c r="AA16" s="512"/>
      <c r="AB16" s="512"/>
      <c r="AC16" s="512"/>
      <c r="AD16" s="512"/>
      <c r="AE16" s="512"/>
      <c r="AF16" s="77"/>
      <c r="AG16" s="283"/>
      <c r="AM16" s="544"/>
      <c r="AN16" s="545"/>
      <c r="AO16" s="545"/>
      <c r="AP16" s="545"/>
      <c r="AQ16" s="70"/>
      <c r="AR16" s="70"/>
      <c r="AS16" s="70"/>
      <c r="AT16" s="70"/>
      <c r="AU16" s="280"/>
      <c r="AV16" s="307"/>
      <c r="AW16" s="364"/>
      <c r="AX16" s="62"/>
      <c r="AY16" s="62"/>
      <c r="BD16" s="1"/>
      <c r="BE16" s="1"/>
    </row>
    <row r="17" spans="1:57" s="65" customFormat="1" ht="5.25" customHeight="1">
      <c r="A17" s="308"/>
      <c r="B17" s="278"/>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280"/>
      <c r="AM17" s="278"/>
      <c r="AN17" s="70"/>
      <c r="AO17" s="70"/>
      <c r="AP17" s="70"/>
      <c r="AQ17" s="70"/>
      <c r="AR17" s="70"/>
      <c r="AS17" s="70"/>
      <c r="AT17" s="70"/>
      <c r="AU17" s="280"/>
      <c r="AV17" s="307"/>
      <c r="AW17" s="364"/>
      <c r="AX17" s="62"/>
      <c r="AY17" s="62"/>
      <c r="BD17" s="1"/>
      <c r="BE17" s="1"/>
    </row>
    <row r="18" spans="1:57" s="65" customFormat="1" ht="21.75" customHeight="1">
      <c r="A18" s="308"/>
      <c r="B18" s="278"/>
      <c r="C18" s="70"/>
      <c r="D18" s="70"/>
      <c r="E18" s="70"/>
      <c r="F18" s="70"/>
      <c r="G18" s="66">
        <v>0</v>
      </c>
      <c r="H18" s="77"/>
      <c r="I18" s="66">
        <v>1</v>
      </c>
      <c r="J18" s="77"/>
      <c r="K18" s="77"/>
      <c r="L18" s="77"/>
      <c r="M18" s="66">
        <v>0</v>
      </c>
      <c r="N18" s="77"/>
      <c r="O18" s="66">
        <v>0</v>
      </c>
      <c r="P18" s="77"/>
      <c r="Q18" s="532">
        <v>0</v>
      </c>
      <c r="R18" s="533"/>
      <c r="S18" s="77"/>
      <c r="T18" s="77"/>
      <c r="U18" s="77"/>
      <c r="V18" s="77"/>
      <c r="W18" s="66">
        <v>0</v>
      </c>
      <c r="X18" s="77"/>
      <c r="Y18" s="532">
        <v>0</v>
      </c>
      <c r="Z18" s="533"/>
      <c r="AA18" s="77"/>
      <c r="AB18" s="532">
        <v>1</v>
      </c>
      <c r="AC18" s="534"/>
      <c r="AD18" s="533"/>
      <c r="AE18" s="70"/>
      <c r="AF18" s="70"/>
      <c r="AG18" s="280"/>
      <c r="AM18" s="291"/>
      <c r="AN18" s="275"/>
      <c r="AO18" s="509" t="s">
        <v>193</v>
      </c>
      <c r="AP18" s="509"/>
      <c r="AQ18" s="80"/>
      <c r="AR18" s="277" t="s">
        <v>194</v>
      </c>
      <c r="AS18" s="81"/>
      <c r="AT18" s="288" t="s">
        <v>195</v>
      </c>
      <c r="AU18" s="343">
        <f>Y25</f>
        <v>30000</v>
      </c>
      <c r="AV18" s="307"/>
      <c r="AW18" s="364"/>
      <c r="AX18" s="62"/>
      <c r="AY18" s="62"/>
      <c r="BD18" s="1"/>
      <c r="BE18" s="1"/>
    </row>
    <row r="19" spans="1:57" s="65" customFormat="1" ht="3.75" customHeight="1">
      <c r="A19" s="308"/>
      <c r="B19" s="278"/>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280"/>
      <c r="AM19" s="291"/>
      <c r="AN19" s="275"/>
      <c r="AO19" s="275"/>
      <c r="AP19" s="275"/>
      <c r="AQ19" s="275"/>
      <c r="AR19" s="275"/>
      <c r="AS19" s="275"/>
      <c r="AT19" s="275"/>
      <c r="AU19" s="276"/>
      <c r="AV19" s="307"/>
      <c r="AW19" s="364"/>
      <c r="AX19" s="62"/>
      <c r="AY19" s="62"/>
      <c r="BD19" s="1"/>
      <c r="BE19" s="1"/>
    </row>
    <row r="20" spans="1:57" s="65" customFormat="1" ht="12" customHeight="1">
      <c r="A20" s="308"/>
      <c r="B20" s="278"/>
      <c r="C20" s="70"/>
      <c r="D20" s="70"/>
      <c r="E20" s="70"/>
      <c r="F20" s="70"/>
      <c r="G20" s="510" t="s">
        <v>196</v>
      </c>
      <c r="H20" s="512"/>
      <c r="I20" s="512"/>
      <c r="J20" s="70"/>
      <c r="K20" s="70"/>
      <c r="L20" s="70"/>
      <c r="M20" s="510" t="s">
        <v>197</v>
      </c>
      <c r="N20" s="512"/>
      <c r="O20" s="512"/>
      <c r="P20" s="512"/>
      <c r="Q20" s="512"/>
      <c r="R20" s="512"/>
      <c r="S20" s="70"/>
      <c r="T20" s="70"/>
      <c r="U20" s="70"/>
      <c r="V20" s="70"/>
      <c r="W20" s="510" t="s">
        <v>198</v>
      </c>
      <c r="X20" s="512"/>
      <c r="Y20" s="512"/>
      <c r="Z20" s="512"/>
      <c r="AA20" s="512"/>
      <c r="AB20" s="512"/>
      <c r="AC20" s="512"/>
      <c r="AD20" s="512"/>
      <c r="AE20" s="70"/>
      <c r="AF20" s="70"/>
      <c r="AG20" s="280"/>
      <c r="AM20" s="500" t="str">
        <f>B27</f>
        <v>(Net Rupees Thirty thousand only)</v>
      </c>
      <c r="AN20" s="535"/>
      <c r="AO20" s="535"/>
      <c r="AP20" s="535"/>
      <c r="AQ20" s="535"/>
      <c r="AR20" s="535"/>
      <c r="AS20" s="535"/>
      <c r="AT20" s="535"/>
      <c r="AU20" s="536"/>
      <c r="AV20" s="307"/>
      <c r="AW20" s="364"/>
      <c r="AX20" s="62"/>
      <c r="AY20" s="62"/>
      <c r="BD20" s="1"/>
      <c r="BE20" s="1"/>
    </row>
    <row r="21" spans="1:57" s="65" customFormat="1" ht="5.25" customHeight="1">
      <c r="A21" s="308"/>
      <c r="B21" s="278"/>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280"/>
      <c r="AM21" s="500"/>
      <c r="AN21" s="535"/>
      <c r="AO21" s="535"/>
      <c r="AP21" s="535"/>
      <c r="AQ21" s="535"/>
      <c r="AR21" s="535"/>
      <c r="AS21" s="535"/>
      <c r="AT21" s="535"/>
      <c r="AU21" s="536"/>
      <c r="AV21" s="307"/>
      <c r="AW21" s="364"/>
      <c r="AX21" s="62"/>
      <c r="AY21" s="62"/>
      <c r="BD21" s="1"/>
      <c r="BE21" s="1"/>
    </row>
    <row r="22" spans="1:57" s="65" customFormat="1" ht="12" customHeight="1">
      <c r="A22" s="308"/>
      <c r="B22" s="284" t="s">
        <v>199</v>
      </c>
      <c r="C22" s="522" t="s">
        <v>31</v>
      </c>
      <c r="D22" s="70"/>
      <c r="E22" s="285" t="s">
        <v>200</v>
      </c>
      <c r="F22" s="70"/>
      <c r="G22" s="70"/>
      <c r="H22" s="70"/>
      <c r="I22" s="70"/>
      <c r="J22" s="70"/>
      <c r="K22" s="522" t="s">
        <v>33</v>
      </c>
      <c r="L22" s="70"/>
      <c r="M22" s="286" t="s">
        <v>201</v>
      </c>
      <c r="N22" s="70"/>
      <c r="O22" s="70"/>
      <c r="P22" s="70"/>
      <c r="Q22" s="70"/>
      <c r="R22" s="70"/>
      <c r="S22" s="70"/>
      <c r="T22" s="70"/>
      <c r="U22" s="70"/>
      <c r="V22" s="70"/>
      <c r="W22" s="522">
        <v>8</v>
      </c>
      <c r="X22" s="70"/>
      <c r="Y22" s="524">
        <v>0</v>
      </c>
      <c r="Z22" s="525"/>
      <c r="AA22" s="70"/>
      <c r="AB22" s="524">
        <v>1</v>
      </c>
      <c r="AC22" s="528"/>
      <c r="AD22" s="525"/>
      <c r="AE22" s="70"/>
      <c r="AF22" s="524">
        <v>1</v>
      </c>
      <c r="AG22" s="530"/>
      <c r="AH22" s="70"/>
      <c r="AM22" s="537"/>
      <c r="AN22" s="538"/>
      <c r="AO22" s="538"/>
      <c r="AP22" s="538"/>
      <c r="AQ22" s="538"/>
      <c r="AR22" s="538"/>
      <c r="AS22" s="538"/>
      <c r="AT22" s="538"/>
      <c r="AU22" s="539"/>
      <c r="AV22" s="307"/>
      <c r="AW22" s="364"/>
      <c r="AX22" s="62"/>
      <c r="AY22" s="62"/>
      <c r="BD22" s="1"/>
      <c r="BE22" s="1"/>
    </row>
    <row r="23" spans="1:57" s="65" customFormat="1" ht="14.25" customHeight="1">
      <c r="A23" s="308"/>
      <c r="B23" s="284" t="s">
        <v>202</v>
      </c>
      <c r="C23" s="523"/>
      <c r="D23" s="70"/>
      <c r="E23" s="285" t="s">
        <v>203</v>
      </c>
      <c r="F23" s="70"/>
      <c r="G23" s="70"/>
      <c r="H23" s="70"/>
      <c r="I23" s="70"/>
      <c r="J23" s="70"/>
      <c r="K23" s="523"/>
      <c r="L23" s="70"/>
      <c r="M23" s="286" t="s">
        <v>204</v>
      </c>
      <c r="N23" s="70"/>
      <c r="O23" s="70"/>
      <c r="P23" s="70"/>
      <c r="Q23" s="70"/>
      <c r="R23" s="70"/>
      <c r="S23" s="70"/>
      <c r="T23" s="70"/>
      <c r="U23" s="70"/>
      <c r="V23" s="70"/>
      <c r="W23" s="523"/>
      <c r="X23" s="70"/>
      <c r="Y23" s="526"/>
      <c r="Z23" s="527"/>
      <c r="AA23" s="70"/>
      <c r="AB23" s="526"/>
      <c r="AC23" s="529"/>
      <c r="AD23" s="527"/>
      <c r="AE23" s="70"/>
      <c r="AF23" s="526"/>
      <c r="AG23" s="531"/>
      <c r="AH23" s="70"/>
      <c r="AM23" s="305" t="s">
        <v>205</v>
      </c>
      <c r="AN23" s="79"/>
      <c r="AO23" s="515"/>
      <c r="AP23" s="515"/>
      <c r="AQ23" s="515"/>
      <c r="AR23" s="515"/>
      <c r="AS23" s="515"/>
      <c r="AT23" s="306" t="s">
        <v>206</v>
      </c>
      <c r="AU23" s="276"/>
      <c r="AV23" s="307"/>
      <c r="AW23" s="364"/>
      <c r="AX23" s="62"/>
      <c r="AY23" s="62"/>
      <c r="BD23" s="1"/>
      <c r="BE23" s="1"/>
    </row>
    <row r="24" spans="1:57" s="65" customFormat="1" ht="15" customHeight="1">
      <c r="A24" s="308"/>
      <c r="B24" s="278"/>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280"/>
      <c r="AM24" s="516" t="str">
        <f>Data!C23</f>
        <v>Kakinada Division, Kakinada</v>
      </c>
      <c r="AN24" s="517"/>
      <c r="AO24" s="518"/>
      <c r="AP24" s="518"/>
      <c r="AQ24" s="518"/>
      <c r="AR24" s="275" t="s">
        <v>207</v>
      </c>
      <c r="AS24" s="275"/>
      <c r="AT24" s="275"/>
      <c r="AU24" s="276"/>
      <c r="AV24" s="307"/>
      <c r="AW24" s="364"/>
      <c r="AX24" s="62"/>
      <c r="AY24" s="62"/>
      <c r="BD24" s="1"/>
      <c r="BE24" s="1"/>
    </row>
    <row r="25" spans="1:57" s="65" customFormat="1" ht="15" customHeight="1">
      <c r="A25" s="308"/>
      <c r="B25" s="287" t="s">
        <v>208</v>
      </c>
      <c r="C25" s="519">
        <f>'Calculation sheet'!AI27</f>
        <v>30000</v>
      </c>
      <c r="D25" s="519"/>
      <c r="E25" s="519"/>
      <c r="F25" s="519"/>
      <c r="G25" s="519"/>
      <c r="H25" s="70"/>
      <c r="I25" s="520" t="s">
        <v>209</v>
      </c>
      <c r="J25" s="520"/>
      <c r="K25" s="520"/>
      <c r="L25" s="520"/>
      <c r="M25" s="520"/>
      <c r="N25" s="70"/>
      <c r="O25" s="519">
        <v>0</v>
      </c>
      <c r="P25" s="519"/>
      <c r="Q25" s="519"/>
      <c r="R25" s="519"/>
      <c r="S25" s="519"/>
      <c r="T25" s="70"/>
      <c r="U25" s="520" t="s">
        <v>210</v>
      </c>
      <c r="V25" s="520"/>
      <c r="W25" s="520"/>
      <c r="X25" s="70"/>
      <c r="Y25" s="519">
        <f>C25</f>
        <v>30000</v>
      </c>
      <c r="Z25" s="519"/>
      <c r="AA25" s="519"/>
      <c r="AB25" s="519"/>
      <c r="AC25" s="519"/>
      <c r="AD25" s="519"/>
      <c r="AE25" s="519"/>
      <c r="AF25" s="519"/>
      <c r="AG25" s="521"/>
      <c r="AM25" s="278" t="s">
        <v>211</v>
      </c>
      <c r="AN25" s="275"/>
      <c r="AO25" s="275"/>
      <c r="AP25" s="275"/>
      <c r="AQ25" s="275"/>
      <c r="AR25" s="275"/>
      <c r="AS25" s="70"/>
      <c r="AT25" s="275"/>
      <c r="AU25" s="276"/>
      <c r="AV25" s="307"/>
      <c r="AW25" s="364"/>
      <c r="AX25" s="62"/>
      <c r="AY25" s="62"/>
      <c r="BD25" s="1"/>
      <c r="BE25" s="1"/>
    </row>
    <row r="26" spans="1:57" s="65" customFormat="1" ht="12" customHeight="1">
      <c r="A26" s="308"/>
      <c r="B26" s="287"/>
      <c r="C26" s="82"/>
      <c r="D26" s="82"/>
      <c r="E26" s="82"/>
      <c r="F26" s="82"/>
      <c r="G26" s="82"/>
      <c r="H26" s="70"/>
      <c r="I26" s="288"/>
      <c r="J26" s="288"/>
      <c r="K26" s="288"/>
      <c r="L26" s="288"/>
      <c r="M26" s="288"/>
      <c r="N26" s="70"/>
      <c r="O26" s="82"/>
      <c r="P26" s="82"/>
      <c r="Q26" s="82"/>
      <c r="R26" s="82"/>
      <c r="S26" s="82"/>
      <c r="T26" s="70"/>
      <c r="U26" s="288"/>
      <c r="V26" s="288"/>
      <c r="W26" s="288"/>
      <c r="X26" s="70"/>
      <c r="Y26" s="82"/>
      <c r="Z26" s="82"/>
      <c r="AA26" s="82"/>
      <c r="AB26" s="82"/>
      <c r="AC26" s="82"/>
      <c r="AD26" s="82"/>
      <c r="AE26" s="82"/>
      <c r="AF26" s="82"/>
      <c r="AG26" s="289"/>
      <c r="AM26" s="278"/>
      <c r="AN26" s="275"/>
      <c r="AO26" s="275"/>
      <c r="AP26" s="275"/>
      <c r="AQ26" s="275"/>
      <c r="AR26" s="275"/>
      <c r="AS26" s="70"/>
      <c r="AT26" s="275"/>
      <c r="AU26" s="276"/>
      <c r="AV26" s="307"/>
      <c r="AW26" s="364"/>
      <c r="AX26" s="62"/>
      <c r="AY26" s="62"/>
      <c r="BD26" s="1"/>
      <c r="BE26" s="1"/>
    </row>
    <row r="27" spans="1:57" s="65" customFormat="1" ht="12" customHeight="1">
      <c r="A27" s="308"/>
      <c r="B27" s="500" t="str">
        <f>"(Net Rupees "&amp;B116&amp;")"</f>
        <v>(Net Rupees Thirty thousand only)</v>
      </c>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2"/>
      <c r="AM27" s="278"/>
      <c r="AN27" s="275"/>
      <c r="AO27" s="275"/>
      <c r="AP27" s="275"/>
      <c r="AQ27" s="275"/>
      <c r="AR27" s="275"/>
      <c r="AS27" s="70"/>
      <c r="AT27" s="275"/>
      <c r="AU27" s="276"/>
      <c r="AV27" s="307"/>
      <c r="AW27" s="364"/>
      <c r="AX27" s="62"/>
      <c r="AY27" s="62"/>
      <c r="BD27" s="1"/>
      <c r="BE27" s="1"/>
    </row>
    <row r="28" spans="1:57" s="65" customFormat="1" ht="17.25" customHeight="1">
      <c r="A28" s="308"/>
      <c r="B28" s="503"/>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5"/>
      <c r="AM28" s="291" t="s">
        <v>212</v>
      </c>
      <c r="AN28" s="275"/>
      <c r="AO28" s="275"/>
      <c r="AP28" s="275"/>
      <c r="AQ28" s="275"/>
      <c r="AR28" s="275"/>
      <c r="AS28" s="275" t="s">
        <v>213</v>
      </c>
      <c r="AT28" s="275"/>
      <c r="AU28" s="276"/>
      <c r="AV28" s="307"/>
      <c r="AW28" s="364"/>
      <c r="AX28" s="62"/>
      <c r="AY28" s="62"/>
      <c r="BD28" s="1"/>
      <c r="BE28" s="1"/>
    </row>
    <row r="29" spans="1:57" s="65" customFormat="1" ht="18" customHeight="1">
      <c r="A29" s="308"/>
      <c r="B29" s="279" t="s">
        <v>214</v>
      </c>
      <c r="C29" s="70"/>
      <c r="D29" s="70"/>
      <c r="E29" s="513"/>
      <c r="F29" s="514"/>
      <c r="G29" s="514"/>
      <c r="H29" s="514"/>
      <c r="I29" s="514"/>
      <c r="J29" s="514"/>
      <c r="K29" s="514"/>
      <c r="L29" s="514"/>
      <c r="M29" s="514"/>
      <c r="N29" s="70"/>
      <c r="O29" s="290" t="s">
        <v>215</v>
      </c>
      <c r="P29" s="70"/>
      <c r="Q29" s="70"/>
      <c r="R29" s="70"/>
      <c r="S29" s="70"/>
      <c r="T29" s="70"/>
      <c r="U29" s="506"/>
      <c r="V29" s="506"/>
      <c r="W29" s="506"/>
      <c r="X29" s="506"/>
      <c r="Y29" s="506"/>
      <c r="Z29" s="506"/>
      <c r="AA29" s="506"/>
      <c r="AB29" s="506"/>
      <c r="AC29" s="506"/>
      <c r="AD29" s="506"/>
      <c r="AE29" s="506"/>
      <c r="AF29" s="506"/>
      <c r="AG29" s="507"/>
      <c r="AM29" s="291" t="s">
        <v>216</v>
      </c>
      <c r="AN29" s="275"/>
      <c r="AO29" s="275"/>
      <c r="AP29" s="275"/>
      <c r="AQ29" s="275"/>
      <c r="AR29" s="275"/>
      <c r="AS29" s="275" t="s">
        <v>216</v>
      </c>
      <c r="AT29" s="275"/>
      <c r="AU29" s="276"/>
      <c r="AV29" s="307"/>
      <c r="AW29" s="364"/>
      <c r="AX29" s="62"/>
      <c r="AY29" s="62"/>
      <c r="AZ29" s="1"/>
      <c r="BA29" s="1"/>
      <c r="BB29" s="1"/>
      <c r="BC29" s="1"/>
      <c r="BD29" s="1"/>
      <c r="BE29" s="1"/>
    </row>
    <row r="30" spans="1:57" s="65" customFormat="1" ht="15" customHeight="1">
      <c r="A30" s="308"/>
      <c r="B30" s="278" t="s">
        <v>217</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280"/>
      <c r="AM30" s="291"/>
      <c r="AN30" s="275"/>
      <c r="AO30" s="275"/>
      <c r="AP30" s="275"/>
      <c r="AQ30" s="275"/>
      <c r="AR30" s="275"/>
      <c r="AS30" s="275"/>
      <c r="AT30" s="275"/>
      <c r="AU30" s="276"/>
      <c r="AV30" s="307"/>
      <c r="AW30" s="364"/>
      <c r="AX30" s="62"/>
      <c r="AY30" s="62"/>
      <c r="AZ30" s="1"/>
      <c r="BA30" s="1"/>
      <c r="BB30" s="1"/>
      <c r="BC30" s="1"/>
      <c r="BD30" s="1"/>
      <c r="BE30" s="1"/>
    </row>
    <row r="31" spans="1:57" s="65" customFormat="1" ht="20.25" customHeight="1">
      <c r="A31" s="308"/>
      <c r="B31" s="278"/>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280"/>
      <c r="AM31" s="291"/>
      <c r="AN31" s="275"/>
      <c r="AO31" s="275"/>
      <c r="AP31" s="275"/>
      <c r="AQ31" s="275"/>
      <c r="AR31" s="275"/>
      <c r="AS31" s="275"/>
      <c r="AT31" s="275"/>
      <c r="AU31" s="276"/>
      <c r="AV31" s="307"/>
      <c r="AW31" s="364"/>
      <c r="AX31" s="62"/>
      <c r="AY31" s="62"/>
      <c r="AZ31" s="1"/>
      <c r="BA31" s="1"/>
      <c r="BB31" s="1"/>
      <c r="BC31" s="1"/>
      <c r="BD31" s="1"/>
      <c r="BE31" s="1"/>
    </row>
    <row r="32" spans="1:57" s="65" customFormat="1" ht="13.5" customHeight="1">
      <c r="A32" s="308"/>
      <c r="B32" s="278"/>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280"/>
      <c r="AM32" s="508" t="s">
        <v>218</v>
      </c>
      <c r="AN32" s="509"/>
      <c r="AO32" s="275"/>
      <c r="AP32" s="275"/>
      <c r="AQ32" s="275"/>
      <c r="AR32" s="275"/>
      <c r="AS32" s="275"/>
      <c r="AT32" s="275"/>
      <c r="AU32" s="276"/>
      <c r="AV32" s="307"/>
      <c r="AW32" s="364"/>
      <c r="AX32" s="62"/>
      <c r="AY32" s="62"/>
      <c r="AZ32" s="1"/>
      <c r="BA32" s="1"/>
      <c r="BB32" s="1"/>
      <c r="BC32" s="1"/>
      <c r="BD32" s="1"/>
      <c r="BE32" s="1"/>
    </row>
    <row r="33" spans="1:57" s="65" customFormat="1" ht="20.25" customHeight="1">
      <c r="A33" s="308"/>
      <c r="B33" s="278" t="s">
        <v>219</v>
      </c>
      <c r="C33" s="70"/>
      <c r="D33" s="70"/>
      <c r="E33" s="70"/>
      <c r="F33" s="70"/>
      <c r="G33" s="286" t="s">
        <v>220</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280"/>
      <c r="AM33" s="291"/>
      <c r="AN33" s="275"/>
      <c r="AO33" s="275"/>
      <c r="AP33" s="275"/>
      <c r="AQ33" s="275"/>
      <c r="AR33" s="275"/>
      <c r="AS33" s="275"/>
      <c r="AT33" s="275"/>
      <c r="AU33" s="276"/>
      <c r="AV33" s="307"/>
      <c r="AW33" s="364"/>
      <c r="AX33" s="62"/>
      <c r="AY33" s="62"/>
      <c r="AZ33" s="1"/>
      <c r="BA33" s="83"/>
      <c r="BB33" s="1"/>
      <c r="BC33" s="1"/>
      <c r="BD33" s="1"/>
      <c r="BE33" s="1"/>
    </row>
    <row r="34" spans="1:57" s="65" customFormat="1" ht="20.25" customHeight="1">
      <c r="A34" s="308"/>
      <c r="B34" s="278" t="s">
        <v>221</v>
      </c>
      <c r="C34" s="70"/>
      <c r="D34" s="70"/>
      <c r="E34" s="70"/>
      <c r="F34" s="70"/>
      <c r="G34" s="286" t="s">
        <v>222</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280"/>
      <c r="AM34" s="291"/>
      <c r="AN34" s="275"/>
      <c r="AO34" s="275"/>
      <c r="AP34" s="275"/>
      <c r="AQ34" s="275"/>
      <c r="AR34" s="275"/>
      <c r="AS34" s="275"/>
      <c r="AT34" s="275"/>
      <c r="AU34" s="276"/>
      <c r="AV34" s="307"/>
      <c r="AW34" s="364"/>
      <c r="AX34" s="62"/>
      <c r="AY34" s="62"/>
      <c r="AZ34" s="1"/>
      <c r="BA34" s="83"/>
      <c r="BB34" s="1"/>
      <c r="BC34" s="1"/>
      <c r="BD34" s="1"/>
      <c r="BE34" s="1"/>
    </row>
    <row r="35" spans="1:57" s="65" customFormat="1" ht="11.25" customHeight="1" hidden="1">
      <c r="A35" s="308"/>
      <c r="B35" s="278"/>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280"/>
      <c r="AM35" s="291"/>
      <c r="AN35" s="275"/>
      <c r="AO35" s="275"/>
      <c r="AP35" s="275"/>
      <c r="AQ35" s="275"/>
      <c r="AR35" s="275"/>
      <c r="AS35" s="275"/>
      <c r="AT35" s="275"/>
      <c r="AU35" s="276"/>
      <c r="AV35" s="307"/>
      <c r="AW35" s="364"/>
      <c r="AX35" s="62"/>
      <c r="AY35" s="62"/>
      <c r="AZ35" s="1"/>
      <c r="BA35" s="1"/>
      <c r="BB35" s="1"/>
      <c r="BC35" s="1"/>
      <c r="BD35" s="1"/>
      <c r="BE35" s="1"/>
    </row>
    <row r="36" spans="1:57" s="65" customFormat="1" ht="11.25" customHeight="1">
      <c r="A36" s="308"/>
      <c r="B36" s="278"/>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280"/>
      <c r="AM36" s="291" t="s">
        <v>223</v>
      </c>
      <c r="AN36" s="275"/>
      <c r="AO36" s="275"/>
      <c r="AP36" s="275"/>
      <c r="AQ36" s="275"/>
      <c r="AR36" s="275"/>
      <c r="AS36" s="275" t="s">
        <v>212</v>
      </c>
      <c r="AT36" s="275"/>
      <c r="AU36" s="276"/>
      <c r="AV36" s="307"/>
      <c r="AW36" s="364"/>
      <c r="AX36" s="62"/>
      <c r="AY36" s="62"/>
      <c r="AZ36" s="1"/>
      <c r="BA36" s="1"/>
      <c r="BB36" s="1"/>
      <c r="BC36" s="1"/>
      <c r="BD36" s="1"/>
      <c r="BE36" s="1"/>
    </row>
    <row r="37" spans="1:57" s="65" customFormat="1" ht="11.25" customHeight="1">
      <c r="A37" s="308"/>
      <c r="B37" s="278"/>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280"/>
      <c r="AM37" s="291"/>
      <c r="AN37" s="275"/>
      <c r="AO37" s="275"/>
      <c r="AP37" s="275"/>
      <c r="AQ37" s="275"/>
      <c r="AR37" s="275"/>
      <c r="AS37" s="275" t="s">
        <v>224</v>
      </c>
      <c r="AT37" s="275"/>
      <c r="AU37" s="276"/>
      <c r="AV37" s="307"/>
      <c r="AW37" s="364"/>
      <c r="AX37" s="62"/>
      <c r="AY37" s="62"/>
      <c r="AZ37" s="1"/>
      <c r="BA37" s="1"/>
      <c r="BB37" s="1"/>
      <c r="BC37" s="1"/>
      <c r="BD37" s="1"/>
      <c r="BE37" s="1"/>
    </row>
    <row r="38" spans="1:57" s="65" customFormat="1" ht="20.25" customHeight="1">
      <c r="A38" s="308"/>
      <c r="B38" s="278" t="s">
        <v>225</v>
      </c>
      <c r="C38" s="70"/>
      <c r="D38" s="70"/>
      <c r="E38" s="70"/>
      <c r="F38" s="70"/>
      <c r="G38" s="70"/>
      <c r="H38" s="70"/>
      <c r="I38" s="510" t="s">
        <v>218</v>
      </c>
      <c r="J38" s="510"/>
      <c r="K38" s="510"/>
      <c r="L38" s="510"/>
      <c r="M38" s="510"/>
      <c r="N38" s="510"/>
      <c r="O38" s="510"/>
      <c r="P38" s="70"/>
      <c r="Q38" s="70"/>
      <c r="R38" s="70"/>
      <c r="S38" s="70"/>
      <c r="T38" s="70"/>
      <c r="U38" s="70"/>
      <c r="V38" s="70"/>
      <c r="W38" s="510" t="s">
        <v>226</v>
      </c>
      <c r="X38" s="510"/>
      <c r="Y38" s="510"/>
      <c r="Z38" s="510"/>
      <c r="AA38" s="510"/>
      <c r="AB38" s="510"/>
      <c r="AC38" s="510"/>
      <c r="AD38" s="510"/>
      <c r="AE38" s="510"/>
      <c r="AF38" s="510"/>
      <c r="AG38" s="511"/>
      <c r="AM38" s="278"/>
      <c r="AN38" s="70"/>
      <c r="AO38" s="70"/>
      <c r="AP38" s="70"/>
      <c r="AQ38" s="70"/>
      <c r="AR38" s="70"/>
      <c r="AS38" s="70"/>
      <c r="AT38" s="70"/>
      <c r="AU38" s="280"/>
      <c r="AV38" s="308"/>
      <c r="AW38" s="365"/>
      <c r="AZ38" s="1"/>
      <c r="BA38" s="1"/>
      <c r="BB38" s="1"/>
      <c r="BC38" s="1"/>
      <c r="BD38" s="1"/>
      <c r="BE38" s="1"/>
    </row>
    <row r="39" spans="2:47" ht="12.75">
      <c r="B39" s="291"/>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6"/>
      <c r="AM39" s="291"/>
      <c r="AN39" s="275"/>
      <c r="AO39" s="275"/>
      <c r="AP39" s="275"/>
      <c r="AQ39" s="275"/>
      <c r="AR39" s="275"/>
      <c r="AS39" s="275"/>
      <c r="AT39" s="275"/>
      <c r="AU39" s="276"/>
    </row>
    <row r="40" spans="2:47" ht="12.75">
      <c r="B40" s="291"/>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6"/>
      <c r="AM40" s="291"/>
      <c r="AN40" s="275"/>
      <c r="AO40" s="275"/>
      <c r="AP40" s="275"/>
      <c r="AQ40" s="275"/>
      <c r="AR40" s="275"/>
      <c r="AS40" s="275"/>
      <c r="AT40" s="275"/>
      <c r="AU40" s="276"/>
    </row>
    <row r="41" spans="2:47" ht="12.75">
      <c r="B41" s="291"/>
      <c r="C41" s="275"/>
      <c r="D41" s="275"/>
      <c r="E41" s="275"/>
      <c r="F41" s="275"/>
      <c r="G41" s="512" t="s">
        <v>225</v>
      </c>
      <c r="H41" s="512"/>
      <c r="I41" s="512"/>
      <c r="J41" s="512"/>
      <c r="K41" s="512"/>
      <c r="L41" s="512"/>
      <c r="M41" s="512"/>
      <c r="N41" s="512"/>
      <c r="O41" s="512"/>
      <c r="P41" s="512"/>
      <c r="Q41" s="512"/>
      <c r="R41" s="512"/>
      <c r="S41" s="275"/>
      <c r="T41" s="275"/>
      <c r="U41" s="275"/>
      <c r="V41" s="275"/>
      <c r="W41" s="275"/>
      <c r="X41" s="275"/>
      <c r="Y41" s="275"/>
      <c r="Z41" s="275"/>
      <c r="AA41" s="275"/>
      <c r="AB41" s="275"/>
      <c r="AC41" s="275"/>
      <c r="AD41" s="275"/>
      <c r="AE41" s="275"/>
      <c r="AF41" s="275"/>
      <c r="AG41" s="276"/>
      <c r="AM41" s="291"/>
      <c r="AN41" s="275"/>
      <c r="AO41" s="275"/>
      <c r="AP41" s="275"/>
      <c r="AQ41" s="275"/>
      <c r="AR41" s="275"/>
      <c r="AS41" s="275"/>
      <c r="AT41" s="275"/>
      <c r="AU41" s="276"/>
    </row>
    <row r="42" spans="2:47" ht="12.75">
      <c r="B42" s="291"/>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6"/>
      <c r="AM42" s="291"/>
      <c r="AN42" s="275"/>
      <c r="AO42" s="275"/>
      <c r="AP42" s="275"/>
      <c r="AQ42" s="275"/>
      <c r="AR42" s="275"/>
      <c r="AS42" s="275"/>
      <c r="AT42" s="275"/>
      <c r="AU42" s="276"/>
    </row>
    <row r="43" spans="2:53" ht="12.75">
      <c r="B43" s="291"/>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6"/>
      <c r="AM43" s="291"/>
      <c r="AN43" s="275"/>
      <c r="AO43" s="275"/>
      <c r="AP43" s="275"/>
      <c r="AQ43" s="275"/>
      <c r="AR43" s="275"/>
      <c r="AS43" s="275"/>
      <c r="AT43" s="275"/>
      <c r="AU43" s="276"/>
      <c r="BA43" s="60" t="str">
        <f>Data!$C$26</f>
        <v>03010402001</v>
      </c>
    </row>
    <row r="44" spans="2:52" ht="12.75">
      <c r="B44" s="291"/>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6"/>
      <c r="AM44" s="291"/>
      <c r="AN44" s="275"/>
      <c r="AO44" s="275"/>
      <c r="AP44" s="275"/>
      <c r="AQ44" s="275"/>
      <c r="AR44" s="275"/>
      <c r="AS44" s="275"/>
      <c r="AT44" s="275"/>
      <c r="AU44" s="276"/>
      <c r="AZ44" s="1" t="str">
        <f>LEFT(BA43,4)</f>
        <v>0301</v>
      </c>
    </row>
    <row r="45" spans="2:55" ht="13.5" thickBot="1">
      <c r="B45" s="292"/>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4"/>
      <c r="AM45" s="292"/>
      <c r="AN45" s="293"/>
      <c r="AO45" s="293"/>
      <c r="AP45" s="293"/>
      <c r="AQ45" s="293"/>
      <c r="AR45" s="293"/>
      <c r="AS45" s="293"/>
      <c r="AT45" s="293"/>
      <c r="AU45" s="294"/>
      <c r="AZ45" s="1" t="str">
        <f>LEFT(AZ44,1)</f>
        <v>0</v>
      </c>
      <c r="BA45" s="1" t="str">
        <f>RIGHT(LEFT(AZ44,2),1)</f>
        <v>3</v>
      </c>
      <c r="BB45" s="1" t="str">
        <f>LEFT(RIGHT(AZ44,2),1)</f>
        <v>0</v>
      </c>
      <c r="BC45" s="1" t="str">
        <f>RIGHT(RIGHT(AZ44,2),1)</f>
        <v>1</v>
      </c>
    </row>
    <row r="46" spans="49:57" s="307" customFormat="1" ht="27" customHeight="1">
      <c r="AW46" s="364"/>
      <c r="AZ46" s="262"/>
      <c r="BA46" s="262">
        <v>2406010010003010</v>
      </c>
      <c r="BB46" s="262"/>
      <c r="BC46" s="262"/>
      <c r="BD46" s="262"/>
      <c r="BE46" s="262"/>
    </row>
    <row r="47" ht="12.75" hidden="1"/>
    <row r="48" ht="12.75" hidden="1">
      <c r="BA48" s="1" t="str">
        <f>LEFT(BA46,9)</f>
        <v>240601001</v>
      </c>
    </row>
    <row r="49" ht="12.75" hidden="1"/>
    <row r="50" spans="52:54" ht="12.75" hidden="1">
      <c r="AZ50" s="1" t="str">
        <f>RIGHT(BA48,3)</f>
        <v>001</v>
      </c>
      <c r="BA50" s="1" t="str">
        <f>RIGHT(BA48,3)</f>
        <v>001</v>
      </c>
      <c r="BB50" s="1" t="str">
        <f>RIGHT(BA48,3)</f>
        <v>001</v>
      </c>
    </row>
    <row r="51" ht="12.75" hidden="1"/>
    <row r="52" spans="52:54" ht="12.75" hidden="1">
      <c r="AZ52" s="1" t="str">
        <f>LEFT(AZ50,1)</f>
        <v>0</v>
      </c>
      <c r="BA52" s="1" t="str">
        <f>LEFT(RIGHT(BA50,2),1)</f>
        <v>0</v>
      </c>
      <c r="BB52" s="1">
        <f>RIGHT(BB50,1)*1</f>
        <v>1</v>
      </c>
    </row>
    <row r="53" ht="12.75" hidden="1">
      <c r="BC53" s="61" t="s">
        <v>158</v>
      </c>
    </row>
    <row r="54" ht="12.75" hidden="1">
      <c r="BA54" s="1" t="str">
        <f>LEFT(BA48,6)</f>
        <v>240601</v>
      </c>
    </row>
    <row r="55" ht="12.75" hidden="1"/>
    <row r="56" spans="52:53" ht="12.75" hidden="1">
      <c r="AZ56" s="1" t="str">
        <f>LEFT(RIGHT(BA54,2),1)</f>
        <v>0</v>
      </c>
      <c r="BA56" s="1" t="str">
        <f>RIGHT(RIGHT(BA54,2),1)</f>
        <v>1</v>
      </c>
    </row>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spans="52:53" ht="12.75" hidden="1">
      <c r="AZ94" s="29"/>
      <c r="BA94" s="29"/>
    </row>
    <row r="95" spans="52:53" ht="12.75" hidden="1">
      <c r="AZ95" s="29"/>
      <c r="BA95" s="29"/>
    </row>
    <row r="96" spans="52:53" ht="12.75" hidden="1">
      <c r="AZ96" s="29"/>
      <c r="BA96" s="29"/>
    </row>
    <row r="97" spans="52:53" ht="12.75" hidden="1">
      <c r="AZ97" s="29"/>
      <c r="BA97" s="29"/>
    </row>
    <row r="98" spans="52:53" ht="12.75" hidden="1">
      <c r="AZ98" s="29"/>
      <c r="BA98" s="29"/>
    </row>
    <row r="99" spans="52:53" ht="12.75" hidden="1">
      <c r="AZ99" s="29"/>
      <c r="BA99" s="29"/>
    </row>
    <row r="100" spans="52:53" ht="12.75" hidden="1">
      <c r="AZ100" s="29"/>
      <c r="BA100" s="29"/>
    </row>
    <row r="101" spans="52:53" ht="12.75" hidden="1">
      <c r="AZ101" s="29"/>
      <c r="BA101" s="29"/>
    </row>
    <row r="102" spans="52:53" ht="12.75" hidden="1">
      <c r="AZ102" s="29"/>
      <c r="BA102" s="29"/>
    </row>
    <row r="103" spans="52:53" ht="12.75" hidden="1">
      <c r="AZ103" s="29"/>
      <c r="BA103" s="29"/>
    </row>
    <row r="104" spans="2:53" ht="12.75" hidden="1">
      <c r="B104" s="194">
        <f>Y25</f>
        <v>30000</v>
      </c>
      <c r="C104" s="62">
        <f>(B104-B107)/1000</f>
        <v>30</v>
      </c>
      <c r="O104" s="62">
        <v>1</v>
      </c>
      <c r="P104" s="62" t="s">
        <v>38</v>
      </c>
      <c r="R104" s="29"/>
      <c r="AZ104" s="29"/>
      <c r="BA104" s="29"/>
    </row>
    <row r="105" spans="2:53" ht="12.75" hidden="1">
      <c r="B105" s="62">
        <f>(C104-B106)/100</f>
        <v>0</v>
      </c>
      <c r="C105" s="62">
        <f>B105</f>
        <v>0</v>
      </c>
      <c r="D105" s="62">
        <f>RIGHT(C105,2)*1</f>
        <v>0</v>
      </c>
      <c r="E105" s="62">
        <f>(C105-D105)/100</f>
        <v>0</v>
      </c>
      <c r="F105" s="62">
        <f>(D105-RIGHT(D105,1)*1)/10</f>
        <v>0</v>
      </c>
      <c r="G105" s="62">
        <f>RIGHT(C105,1)*1</f>
        <v>0</v>
      </c>
      <c r="H105" s="62" t="str">
        <f>IF(F105=O105,Q105,IF(F105=O106,Q106,IF(F105=O107,Q107,IF(F105=O108,Q108,IF(F105=O109,Q109,IF(F105=O110,Q110,IF(F105=O111,Q111,IF(F105=O112,Q112," "))))))))</f>
        <v> </v>
      </c>
      <c r="I105" s="62" t="str">
        <f>IF(F105=1," ",IF(G105=O104,P104,IF(G105=O105,P105,IF(G105=O106,P106,IF(G105=O107,P107,IF(G105=O108,P108,IF(G105=O109,P109," ")))))))</f>
        <v> </v>
      </c>
      <c r="J105" s="62" t="str">
        <f>IF(F105=1," ",IF(G105=O110,P110,IF(G105=O111,P111,IF(G105=O112,P112," "))))</f>
        <v> </v>
      </c>
      <c r="K105" s="62" t="str">
        <f>IF(F105=0," ",IF(F105&gt;1," ",IF(G105=O105,P115,IF(G105=O106,P116,IF(G105=O107,P117,IF(G105=O108,P118,IF(G105=O109,P119,IF(G105=O110,P120," "))))))))</f>
        <v> </v>
      </c>
      <c r="L105" s="62" t="str">
        <f>IF(F105=0," ",IF(F105&gt;1," ",IF(G105=O111,P121,IF(G105=O112,P122,IF(G105=O104,P114,IF(G105=0,P113," "))))))</f>
        <v> </v>
      </c>
      <c r="M105" s="62" t="str">
        <f>IF(F105=0," ","lakh")</f>
        <v> </v>
      </c>
      <c r="N105" s="62" t="str">
        <f>IF(G105=0," ",IF(F105&gt;0," ","lakh"))</f>
        <v> </v>
      </c>
      <c r="O105" s="62">
        <v>2</v>
      </c>
      <c r="P105" s="62" t="s">
        <v>39</v>
      </c>
      <c r="Q105" s="62" t="s">
        <v>40</v>
      </c>
      <c r="R105" s="29"/>
      <c r="AZ105" s="29"/>
      <c r="BA105" s="29"/>
    </row>
    <row r="106" spans="2:53" ht="12.75" hidden="1">
      <c r="B106" s="62">
        <f>RIGHT(C104,2)*1</f>
        <v>30</v>
      </c>
      <c r="C106" s="62">
        <f>B106</f>
        <v>30</v>
      </c>
      <c r="D106" s="62">
        <f>RIGHT(C106,2)*1</f>
        <v>30</v>
      </c>
      <c r="E106" s="62">
        <f>(C106-D106)/100</f>
        <v>0</v>
      </c>
      <c r="F106" s="62">
        <f>(D106-RIGHT(D106,1)*1)/10</f>
        <v>3</v>
      </c>
      <c r="G106" s="62">
        <f>RIGHT(C106,1)*1</f>
        <v>0</v>
      </c>
      <c r="H106" s="62" t="str">
        <f>IF(F106=O105,Q105,IF(F106=O106,Q106,IF(F106=O107,Q107,IF(F106=O108,Q108,IF(F106=O109,Q109,IF(F106=O110,Q110,IF(F106=O111,Q111,IF(F106=O112,Q112," "))))))))</f>
        <v>Thirty </v>
      </c>
      <c r="I106" s="62" t="str">
        <f>IF(F106=1," ",IF(G106=O104,P104,IF(G106=O105,P105,IF(G106=O106,P106,IF(G106=O107,P107,IF(G106=O108,P108,IF(G106=O109,P109," ")))))))</f>
        <v> </v>
      </c>
      <c r="J106" s="62" t="str">
        <f>IF(F106=1," ",IF(G106=O110,P110,IF(G106=O111,P111,IF(G106=O112,P112," "))))</f>
        <v> </v>
      </c>
      <c r="K106" s="62" t="str">
        <f>IF(F106=0," ",IF(F106&gt;1," ",IF(G106=O105,P115,IF(G106=O106,P116,IF(G106=O107,P117,IF(G106=O108,P118,IF(G106=O109,P119,IF(G106=O110,P120," "))))))))</f>
        <v> </v>
      </c>
      <c r="L106" s="62" t="str">
        <f>IF(F106=0," ",IF(F106&gt;1," ",IF(G106=O111,P121,IF(G106=O112,P122,IF(G106=O104,P114,IF(G106=0,P113," "))))))</f>
        <v> </v>
      </c>
      <c r="M106" s="62" t="str">
        <f>IF(F106=0," ","thousand")</f>
        <v>thousand</v>
      </c>
      <c r="N106" s="62" t="str">
        <f>IF(G106=0," ",IF(F106&gt;0," ","thousand"))</f>
        <v> </v>
      </c>
      <c r="O106" s="62">
        <v>3</v>
      </c>
      <c r="P106" s="62" t="s">
        <v>41</v>
      </c>
      <c r="Q106" s="62" t="s">
        <v>42</v>
      </c>
      <c r="R106" s="29"/>
      <c r="AZ106" s="29"/>
      <c r="BA106" s="29"/>
    </row>
    <row r="107" spans="2:53" ht="12.75" hidden="1">
      <c r="B107" s="62">
        <f>RIGHT(B104,3)*1</f>
        <v>0</v>
      </c>
      <c r="C107" s="62">
        <f>B107</f>
        <v>0</v>
      </c>
      <c r="D107" s="62">
        <f>ROUND((C107-E108)/100,0)</f>
        <v>0</v>
      </c>
      <c r="I107" s="62" t="str">
        <f>IF(D107=0," ",IF(D107=O104,P104,IF(D107=O105,P105,IF(D107=O106,P106,IF(D107=O107,P107,IF(D107=O108,P108,IF(D107=O109,P109," ")))))))</f>
        <v> </v>
      </c>
      <c r="J107" s="62" t="str">
        <f>IF(D107=0," ",IF(D107=O110,P110,IF(D107=O111,P111,IF(D107=O112,P112," "))))</f>
        <v> </v>
      </c>
      <c r="M107" s="62" t="str">
        <f>IF(D107=0," ","hundred")</f>
        <v> </v>
      </c>
      <c r="O107" s="62">
        <v>4</v>
      </c>
      <c r="P107" s="62" t="s">
        <v>43</v>
      </c>
      <c r="Q107" s="62" t="s">
        <v>44</v>
      </c>
      <c r="R107" s="29"/>
      <c r="AZ107" s="29"/>
      <c r="BA107" s="29"/>
    </row>
    <row r="108" spans="5:53" ht="12.75" hidden="1">
      <c r="E108" s="62">
        <f>RIGHT(C107,2)*1</f>
        <v>0</v>
      </c>
      <c r="F108" s="62">
        <f>(E108-RIGHT(E108,1)*1)/10</f>
        <v>0</v>
      </c>
      <c r="G108" s="62">
        <f>RIGHT(C107,1)*1</f>
        <v>0</v>
      </c>
      <c r="H108" s="62" t="str">
        <f>IF(F108=O105,Q105,IF(F108=O106,Q106,IF(F108=O107,Q107,IF(F108=O108,Q108,IF(F108=O109,Q109,IF(F108=O110,Q110,IF(F108=O111,Q111,IF(F108=O112,Q112," "))))))))</f>
        <v> </v>
      </c>
      <c r="I108" s="62" t="str">
        <f>IF(F108=1," ",IF(G108=O104,P104,IF(G108=O105,P105,IF(G108=O106,P106,IF(G108=O107,P107,IF(G108=O108,P108,IF(G108=O109,P109," ")))))))</f>
        <v> </v>
      </c>
      <c r="J108" s="62" t="str">
        <f>IF(F108=1," ",IF(G108=O110,P110,IF(G108=O111,P111,IF(G108=O112,P112," "))))</f>
        <v> </v>
      </c>
      <c r="K108" s="62" t="str">
        <f>IF(F108=0," ",IF(F108&gt;1," ",IF(G108=O105,P115,IF(G108=O106,P116,IF(G108=O107,P117,IF(G108=O108,P118,IF(G108=O109,P119,IF(G108=O110,P120," "))))))))</f>
        <v> </v>
      </c>
      <c r="L108" s="62" t="str">
        <f>IF(F108=0," ",IF(F108&gt;1," ",IF(G108=O111,P121,IF(G108=O112,P122,IF(G108=O104,P114,IF(G108=0,P113," "))))))</f>
        <v> </v>
      </c>
      <c r="O108" s="62">
        <v>5</v>
      </c>
      <c r="P108" s="62" t="s">
        <v>45</v>
      </c>
      <c r="Q108" s="62" t="s">
        <v>46</v>
      </c>
      <c r="R108" s="29"/>
      <c r="AZ108" s="29"/>
      <c r="BA108" s="29"/>
    </row>
    <row r="109" spans="6:53" ht="12.75" hidden="1">
      <c r="F109" s="62">
        <f>F108</f>
        <v>0</v>
      </c>
      <c r="G109" s="62">
        <f>G108</f>
        <v>0</v>
      </c>
      <c r="O109" s="62">
        <v>6</v>
      </c>
      <c r="P109" s="62" t="s">
        <v>47</v>
      </c>
      <c r="Q109" s="62" t="s">
        <v>48</v>
      </c>
      <c r="R109" s="29"/>
      <c r="AZ109" s="29"/>
      <c r="BA109" s="29"/>
    </row>
    <row r="110" spans="15:53" ht="12.75" hidden="1">
      <c r="O110" s="62">
        <v>7</v>
      </c>
      <c r="P110" s="62" t="s">
        <v>49</v>
      </c>
      <c r="Q110" s="62" t="s">
        <v>50</v>
      </c>
      <c r="R110" s="29"/>
      <c r="AZ110" s="29"/>
      <c r="BA110" s="29"/>
    </row>
    <row r="111" spans="15:53" ht="12.75" hidden="1">
      <c r="O111" s="62">
        <v>8</v>
      </c>
      <c r="P111" s="62" t="s">
        <v>51</v>
      </c>
      <c r="Q111" s="62" t="s">
        <v>52</v>
      </c>
      <c r="R111" s="29"/>
      <c r="AZ111" s="29"/>
      <c r="BA111" s="29"/>
    </row>
    <row r="112" spans="2:53" ht="12.75" hidden="1">
      <c r="B112" s="62">
        <f>TRIM(H105&amp;" "&amp;I105&amp;" "&amp;J105&amp;" "&amp;K105&amp;" "&amp;L105&amp;" "&amp;M105&amp;" "&amp;N105)</f>
      </c>
      <c r="O112" s="62">
        <v>9</v>
      </c>
      <c r="P112" s="62" t="s">
        <v>53</v>
      </c>
      <c r="Q112" s="62" t="s">
        <v>54</v>
      </c>
      <c r="R112" s="29"/>
      <c r="AZ112" s="29"/>
      <c r="BA112" s="29"/>
    </row>
    <row r="113" spans="2:53" ht="12.75" hidden="1">
      <c r="B113" s="62" t="str">
        <f>TRIM(H106&amp;" "&amp;I106&amp;" "&amp;J106&amp;" "&amp;K106&amp;" "&amp;L106&amp;" "&amp;M106&amp;" "&amp;N106)</f>
        <v>Thirty thousand</v>
      </c>
      <c r="O113" s="62">
        <v>10</v>
      </c>
      <c r="P113" s="62" t="s">
        <v>55</v>
      </c>
      <c r="R113" s="29"/>
      <c r="AZ113" s="29"/>
      <c r="BA113" s="29"/>
    </row>
    <row r="114" spans="2:53" ht="12.75" hidden="1">
      <c r="B114" s="62">
        <f>TRIM(H107&amp;" "&amp;I107&amp;" "&amp;J107&amp;" "&amp;K107&amp;" "&amp;L107&amp;" "&amp;M107&amp;" "&amp;N107)</f>
      </c>
      <c r="O114" s="62">
        <v>11</v>
      </c>
      <c r="P114" s="62" t="s">
        <v>56</v>
      </c>
      <c r="R114" s="29"/>
      <c r="AZ114" s="29"/>
      <c r="BA114" s="29"/>
    </row>
    <row r="115" spans="2:53" ht="12.75" hidden="1">
      <c r="B115" s="62">
        <f>TRIM(H108&amp;" "&amp;I108&amp;" "&amp;J108&amp;" "&amp;K108&amp;" "&amp;L108)</f>
      </c>
      <c r="O115" s="62">
        <v>12</v>
      </c>
      <c r="P115" s="62" t="s">
        <v>57</v>
      </c>
      <c r="R115" s="29"/>
      <c r="AZ115" s="29"/>
      <c r="BA115" s="29"/>
    </row>
    <row r="116" spans="2:53" ht="12.75" hidden="1">
      <c r="B116" s="62" t="str">
        <f>IF(B104&gt;0,TRIM(B112&amp;" "&amp;B113&amp;" "&amp;B114&amp;" "&amp;B115)&amp;" only","Zero only")</f>
        <v>Thirty thousand only</v>
      </c>
      <c r="O116" s="62">
        <v>13</v>
      </c>
      <c r="P116" s="62" t="s">
        <v>58</v>
      </c>
      <c r="R116" s="29"/>
      <c r="AZ116" s="29"/>
      <c r="BA116" s="29"/>
    </row>
    <row r="117" spans="15:53" ht="12.75" hidden="1">
      <c r="O117" s="62">
        <v>14</v>
      </c>
      <c r="P117" s="62" t="s">
        <v>59</v>
      </c>
      <c r="R117" s="29"/>
      <c r="AZ117" s="29"/>
      <c r="BA117" s="29"/>
    </row>
    <row r="118" spans="15:53" ht="12.75" hidden="1">
      <c r="O118" s="62">
        <v>15</v>
      </c>
      <c r="P118" s="62" t="s">
        <v>60</v>
      </c>
      <c r="R118" s="29"/>
      <c r="AZ118" s="29"/>
      <c r="BA118" s="29"/>
    </row>
    <row r="119" spans="15:53" ht="12.75" hidden="1">
      <c r="O119" s="62">
        <v>16</v>
      </c>
      <c r="P119" s="62" t="s">
        <v>61</v>
      </c>
      <c r="R119" s="29"/>
      <c r="AZ119" s="29"/>
      <c r="BA119" s="29"/>
    </row>
    <row r="120" spans="15:53" ht="12.75" hidden="1">
      <c r="O120" s="62">
        <v>17</v>
      </c>
      <c r="P120" s="62" t="s">
        <v>62</v>
      </c>
      <c r="R120" s="29"/>
      <c r="AZ120" s="29"/>
      <c r="BA120" s="29"/>
    </row>
    <row r="121" spans="15:53" ht="12.75" hidden="1">
      <c r="O121" s="62">
        <v>18</v>
      </c>
      <c r="P121" s="62" t="s">
        <v>63</v>
      </c>
      <c r="R121" s="29"/>
      <c r="AZ121" s="29"/>
      <c r="BA121" s="29"/>
    </row>
    <row r="122" spans="15:53" ht="12.75" hidden="1">
      <c r="O122" s="62">
        <v>19</v>
      </c>
      <c r="P122" s="62" t="s">
        <v>64</v>
      </c>
      <c r="R122" s="29"/>
      <c r="AZ122" s="29"/>
      <c r="BA122" s="29"/>
    </row>
    <row r="123" spans="15:53" ht="12.75" hidden="1">
      <c r="O123" s="62">
        <v>20</v>
      </c>
      <c r="P123" s="62" t="s">
        <v>40</v>
      </c>
      <c r="R123" s="29"/>
      <c r="AZ123" s="29"/>
      <c r="BA123" s="29"/>
    </row>
    <row r="124" spans="15:53" ht="12.75" hidden="1">
      <c r="O124" s="62">
        <v>30</v>
      </c>
      <c r="P124" s="62" t="s">
        <v>42</v>
      </c>
      <c r="R124" s="29"/>
      <c r="AZ124" s="29"/>
      <c r="BA124" s="29"/>
    </row>
    <row r="125" spans="15:53" ht="12.75" hidden="1">
      <c r="O125" s="62">
        <v>40</v>
      </c>
      <c r="P125" s="62" t="s">
        <v>44</v>
      </c>
      <c r="R125" s="29"/>
      <c r="AZ125" s="29"/>
      <c r="BA125" s="29"/>
    </row>
    <row r="126" spans="15:53" ht="12.75" hidden="1">
      <c r="O126" s="62">
        <v>50</v>
      </c>
      <c r="P126" s="62" t="s">
        <v>46</v>
      </c>
      <c r="R126" s="29"/>
      <c r="AZ126" s="29"/>
      <c r="BA126" s="29"/>
    </row>
    <row r="127" spans="15:53" ht="12.75" hidden="1">
      <c r="O127" s="62">
        <v>60</v>
      </c>
      <c r="P127" s="62" t="s">
        <v>48</v>
      </c>
      <c r="R127" s="29"/>
      <c r="AZ127" s="29"/>
      <c r="BA127" s="29"/>
    </row>
    <row r="128" spans="15:53" ht="12.75" hidden="1">
      <c r="O128" s="62">
        <v>70</v>
      </c>
      <c r="P128" s="62" t="s">
        <v>50</v>
      </c>
      <c r="R128" s="29"/>
      <c r="AZ128" s="29"/>
      <c r="BA128" s="29"/>
    </row>
    <row r="129" spans="15:53" ht="12.75" hidden="1">
      <c r="O129" s="62">
        <v>80</v>
      </c>
      <c r="P129" s="62" t="s">
        <v>52</v>
      </c>
      <c r="R129" s="29"/>
      <c r="AZ129" s="29"/>
      <c r="BA129" s="29"/>
    </row>
    <row r="130" spans="15:53" ht="12.75" hidden="1">
      <c r="O130" s="62">
        <v>90</v>
      </c>
      <c r="P130" s="62" t="s">
        <v>54</v>
      </c>
      <c r="R130" s="29"/>
      <c r="AZ130" s="29"/>
      <c r="BA130" s="29"/>
    </row>
    <row r="131" spans="52:53" ht="12.75" hidden="1">
      <c r="AZ131" s="29"/>
      <c r="BA131" s="29"/>
    </row>
    <row r="132" spans="52:53" ht="12.75" hidden="1">
      <c r="AZ132" s="29"/>
      <c r="BA132" s="29"/>
    </row>
    <row r="133" spans="52:53" ht="12.75" hidden="1">
      <c r="AZ133" s="29"/>
      <c r="BA133" s="29"/>
    </row>
    <row r="134" spans="52:53" ht="12.75" hidden="1">
      <c r="AZ134" s="29"/>
      <c r="BA134" s="29"/>
    </row>
    <row r="135" spans="52:53" ht="12.75" hidden="1">
      <c r="AZ135" s="29"/>
      <c r="BA135" s="29"/>
    </row>
    <row r="136" spans="52:53" ht="12.75" hidden="1">
      <c r="AZ136" s="29"/>
      <c r="BA136" s="29"/>
    </row>
    <row r="137" spans="52:53" ht="12.75" hidden="1">
      <c r="AZ137" s="29"/>
      <c r="BA137" s="29"/>
    </row>
    <row r="138" spans="52:53" ht="12.75" hidden="1">
      <c r="AZ138" s="29"/>
      <c r="BA138" s="29"/>
    </row>
    <row r="139" spans="52:53" ht="12.75" hidden="1">
      <c r="AZ139" s="29"/>
      <c r="BA139" s="29"/>
    </row>
    <row r="140" spans="52:53" ht="12.75" hidden="1">
      <c r="AZ140" s="29"/>
      <c r="BA140" s="29"/>
    </row>
    <row r="141" spans="52:53" ht="12.75" hidden="1">
      <c r="AZ141" s="29"/>
      <c r="BA141" s="29"/>
    </row>
    <row r="142" spans="52:53" ht="12.75" hidden="1">
      <c r="AZ142" s="29"/>
      <c r="BA142" s="29"/>
    </row>
    <row r="143" ht="12.75" hidden="1"/>
  </sheetData>
  <sheetProtection password="D590" sheet="1" objects="1" scenarios="1" selectLockedCells="1"/>
  <mergeCells count="51">
    <mergeCell ref="B2:AG2"/>
    <mergeCell ref="AM2:AU2"/>
    <mergeCell ref="AM3:AT3"/>
    <mergeCell ref="AM4:AT4"/>
    <mergeCell ref="W5:AG5"/>
    <mergeCell ref="C6:L6"/>
    <mergeCell ref="S6:AD6"/>
    <mergeCell ref="C8:I8"/>
    <mergeCell ref="U8:AD8"/>
    <mergeCell ref="AR8:AS8"/>
    <mergeCell ref="AM16:AP16"/>
    <mergeCell ref="AT8:AU8"/>
    <mergeCell ref="M10:R10"/>
    <mergeCell ref="S10:AG10"/>
    <mergeCell ref="E12:I12"/>
    <mergeCell ref="O12:AG12"/>
    <mergeCell ref="R14:S14"/>
    <mergeCell ref="Z14:AB14"/>
    <mergeCell ref="AD14:AF14"/>
    <mergeCell ref="E16:K16"/>
    <mergeCell ref="M16:O16"/>
    <mergeCell ref="R16:W16"/>
    <mergeCell ref="Z16:AE16"/>
    <mergeCell ref="AO18:AP18"/>
    <mergeCell ref="AO23:AS23"/>
    <mergeCell ref="G41:R41"/>
    <mergeCell ref="B27:AG28"/>
    <mergeCell ref="E29:M29"/>
    <mergeCell ref="U29:AG29"/>
    <mergeCell ref="AM24:AQ24"/>
    <mergeCell ref="G20:I20"/>
    <mergeCell ref="M20:R20"/>
    <mergeCell ref="W20:AD20"/>
    <mergeCell ref="O25:S25"/>
    <mergeCell ref="U25:W25"/>
    <mergeCell ref="Y25:AG25"/>
    <mergeCell ref="AM32:AN32"/>
    <mergeCell ref="Q18:R18"/>
    <mergeCell ref="Y18:Z18"/>
    <mergeCell ref="AB18:AD18"/>
    <mergeCell ref="AM20:AU22"/>
    <mergeCell ref="I38:O38"/>
    <mergeCell ref="W38:AG38"/>
    <mergeCell ref="C22:C23"/>
    <mergeCell ref="K22:K23"/>
    <mergeCell ref="W22:W23"/>
    <mergeCell ref="Y22:Z23"/>
    <mergeCell ref="AB22:AD23"/>
    <mergeCell ref="AF22:AG23"/>
    <mergeCell ref="C25:G25"/>
    <mergeCell ref="I25:M25"/>
  </mergeCells>
  <printOptions horizontalCentered="1"/>
  <pageMargins left="0.26" right="0.24" top="0.59" bottom="0.52" header="0.5" footer="0.44"/>
  <pageSetup fitToHeight="1" fitToWidth="1"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sheetPr codeName="Sheet2"/>
  <dimension ref="A1:IV32"/>
  <sheetViews>
    <sheetView showGridLines="0" showRowColHeaders="0" zoomScalePageLayoutView="0" workbookViewId="0" topLeftCell="A1">
      <selection activeCell="B16" sqref="B16"/>
    </sheetView>
  </sheetViews>
  <sheetFormatPr defaultColWidth="0" defaultRowHeight="28.5" customHeight="1" zeroHeight="1"/>
  <cols>
    <col min="1" max="1" width="5.28125" style="129" customWidth="1"/>
    <col min="2" max="2" width="12.421875" style="129" customWidth="1"/>
    <col min="3" max="3" width="14.57421875" style="129" customWidth="1"/>
    <col min="4" max="4" width="11.28125" style="129" customWidth="1"/>
    <col min="5" max="5" width="7.8515625" style="129" customWidth="1"/>
    <col min="6" max="6" width="11.28125" style="129" customWidth="1"/>
    <col min="7" max="7" width="11.140625" style="129" customWidth="1"/>
    <col min="8" max="8" width="11.7109375" style="129" customWidth="1"/>
    <col min="9" max="9" width="13.00390625" style="129" customWidth="1"/>
    <col min="10" max="10" width="4.57421875" style="129" customWidth="1"/>
    <col min="11" max="11" width="20.28125" style="129" customWidth="1"/>
    <col min="12" max="18" width="9.140625" style="387" hidden="1" customWidth="1"/>
    <col min="19" max="254" width="9.140625" style="129" hidden="1" customWidth="1"/>
    <col min="255" max="255" width="1.8515625" style="129" hidden="1" customWidth="1"/>
    <col min="256" max="16384" width="5.28125" style="129" hidden="1" customWidth="1"/>
  </cols>
  <sheetData>
    <row r="1" spans="10:18" s="256" customFormat="1" ht="18.75" customHeight="1">
      <c r="J1" s="257"/>
      <c r="K1" s="348"/>
      <c r="L1" s="387"/>
      <c r="M1" s="387"/>
      <c r="N1" s="387"/>
      <c r="O1" s="387"/>
      <c r="P1" s="387"/>
      <c r="Q1" s="387"/>
      <c r="R1" s="387"/>
    </row>
    <row r="2" spans="1:256" ht="21.75" customHeight="1">
      <c r="A2" s="256"/>
      <c r="B2" s="420" t="str">
        <f>"PROCEEDINGS OF THE  "&amp;UPPER(Data!C22)&amp;", "&amp;UPPER(Data!C23)</f>
        <v>PROCEEDINGS OF THE  DISTRICT FOREST OFFICER, KAKINADA DIVISION, KAKINADA</v>
      </c>
      <c r="C2" s="420"/>
      <c r="D2" s="420"/>
      <c r="E2" s="420"/>
      <c r="F2" s="420"/>
      <c r="G2" s="420"/>
      <c r="H2" s="420"/>
      <c r="I2" s="420"/>
      <c r="J2" s="257"/>
      <c r="K2" s="348"/>
      <c r="IV2" s="256"/>
    </row>
    <row r="3" spans="1:256" ht="15.75" customHeight="1">
      <c r="A3" s="256"/>
      <c r="B3" s="420" t="str">
        <f>"Present : "&amp;Data!C21</f>
        <v>Present : Sri T.Subba Reddy, IFS.,</v>
      </c>
      <c r="C3" s="420"/>
      <c r="D3" s="420"/>
      <c r="E3" s="420"/>
      <c r="F3" s="420"/>
      <c r="G3" s="420"/>
      <c r="H3" s="420"/>
      <c r="I3" s="420"/>
      <c r="J3" s="257"/>
      <c r="K3" s="348"/>
      <c r="IV3" s="256"/>
    </row>
    <row r="4" spans="1:256" ht="15.75" customHeight="1">
      <c r="A4" s="256"/>
      <c r="B4" s="130" t="s">
        <v>229</v>
      </c>
      <c r="C4" s="152" t="str">
        <f>Data!C24</f>
        <v>2/2011 E</v>
      </c>
      <c r="D4" s="152"/>
      <c r="H4" s="131" t="s">
        <v>230</v>
      </c>
      <c r="I4" s="84">
        <f>Data!C25</f>
        <v>41772</v>
      </c>
      <c r="J4" s="257"/>
      <c r="K4" s="348"/>
      <c r="IV4" s="256"/>
    </row>
    <row r="5" spans="1:256" ht="8.25" customHeight="1">
      <c r="A5" s="256"/>
      <c r="J5" s="257"/>
      <c r="K5" s="348"/>
      <c r="IV5" s="256"/>
    </row>
    <row r="6" spans="1:256" ht="53.25" customHeight="1">
      <c r="A6" s="256"/>
      <c r="B6" s="132" t="s">
        <v>231</v>
      </c>
      <c r="C6" s="421" t="str">
        <f>"Forest Department – "&amp;" Final Payment of Group Insurance Scheme – Payment  of Accumulated savings  together with interest to "&amp;IF(Data!D7="Death Case",Data!C8&amp;" "&amp;Data!D8&amp;", "&amp;Data!D9&amp;" of "&amp;Data!C4&amp;" "&amp;Data!D4&amp;", "&amp;Data!D5,Data!D4&amp;", "&amp;Data!D5)&amp;" who is "&amp;IF(Data!D7="Retired Case","retired","died")&amp;" on "&amp;Data!I39&amp;" – Orders issued – Reg."</f>
        <v>Forest Department –  Final Payment of Group Insurance Scheme – Payment  of Accumulated savings  together with interest to Bandi Babji, Driver who is retired on 31-8-2012 – Orders issued – Reg.</v>
      </c>
      <c r="D6" s="421"/>
      <c r="E6" s="421"/>
      <c r="F6" s="421"/>
      <c r="G6" s="421"/>
      <c r="H6" s="421"/>
      <c r="I6" s="421"/>
      <c r="J6" s="257"/>
      <c r="K6" s="348"/>
      <c r="IV6" s="256"/>
    </row>
    <row r="7" spans="1:256" ht="19.5" customHeight="1">
      <c r="A7" s="256"/>
      <c r="B7" s="132" t="s">
        <v>232</v>
      </c>
      <c r="C7" s="133" t="s">
        <v>237</v>
      </c>
      <c r="D7" s="133"/>
      <c r="I7" s="134"/>
      <c r="J7" s="257"/>
      <c r="K7" s="348"/>
      <c r="IV7" s="256"/>
    </row>
    <row r="8" spans="1:256" ht="19.5" customHeight="1">
      <c r="A8" s="256"/>
      <c r="B8" s="135"/>
      <c r="C8" s="133" t="s">
        <v>238</v>
      </c>
      <c r="D8" s="133"/>
      <c r="J8" s="257"/>
      <c r="K8" s="348"/>
      <c r="IV8" s="256"/>
    </row>
    <row r="9" spans="1:256" ht="19.5" customHeight="1">
      <c r="A9" s="256"/>
      <c r="C9" s="133" t="s">
        <v>247</v>
      </c>
      <c r="D9" s="133"/>
      <c r="J9" s="257"/>
      <c r="K9" s="348"/>
      <c r="IV9" s="256"/>
    </row>
    <row r="10" spans="1:256" ht="19.5" customHeight="1">
      <c r="A10" s="256"/>
      <c r="C10" s="133" t="s">
        <v>328</v>
      </c>
      <c r="D10" s="133"/>
      <c r="H10" s="133"/>
      <c r="J10" s="257"/>
      <c r="K10" s="348"/>
      <c r="IV10" s="256"/>
    </row>
    <row r="11" spans="1:256" ht="19.5" customHeight="1">
      <c r="A11" s="256"/>
      <c r="C11" s="133" t="s">
        <v>333</v>
      </c>
      <c r="D11" s="133"/>
      <c r="E11" s="133"/>
      <c r="F11" s="133"/>
      <c r="G11" s="133"/>
      <c r="H11" s="133"/>
      <c r="J11" s="257"/>
      <c r="K11" s="348"/>
      <c r="IV11" s="256"/>
    </row>
    <row r="12" spans="1:256" ht="16.5" customHeight="1">
      <c r="A12" s="256"/>
      <c r="C12" s="136"/>
      <c r="D12" s="136"/>
      <c r="J12" s="257"/>
      <c r="K12" s="348"/>
      <c r="IV12" s="256"/>
    </row>
    <row r="13" spans="1:256" ht="67.5" customHeight="1">
      <c r="A13" s="256"/>
      <c r="B13" s="421" t="s">
        <v>326</v>
      </c>
      <c r="C13" s="421"/>
      <c r="D13" s="421"/>
      <c r="E13" s="421"/>
      <c r="F13" s="421"/>
      <c r="G13" s="421"/>
      <c r="H13" s="421"/>
      <c r="I13" s="421"/>
      <c r="J13" s="257"/>
      <c r="K13" s="348"/>
      <c r="IV13" s="256"/>
    </row>
    <row r="14" spans="1:256" ht="41.25" customHeight="1">
      <c r="A14" s="256"/>
      <c r="B14" s="425" t="str">
        <f>"           Contribution to A.P.State Govt. Employees Group Insurance Scheme made by "&amp;Data!C4&amp;" "&amp;Data!D4&amp;", "&amp;Data!D5&amp;"  from "&amp;Data!I37&amp;" to "&amp;Data!I39&amp;" "&amp;"from time to time as follows."</f>
        <v>           Contribution to A.P.State Govt. Employees Group Insurance Scheme made by Sri Bandi Babji, Driver  from 1-11-1984 to 31-8-2012 from time to time as follows.</v>
      </c>
      <c r="C14" s="425"/>
      <c r="D14" s="425"/>
      <c r="E14" s="425"/>
      <c r="F14" s="425"/>
      <c r="G14" s="425"/>
      <c r="H14" s="425"/>
      <c r="I14" s="425"/>
      <c r="J14" s="257"/>
      <c r="K14" s="348"/>
      <c r="IV14" s="256"/>
    </row>
    <row r="15" spans="1:256" s="189" customFormat="1" ht="66.75" customHeight="1">
      <c r="A15" s="257"/>
      <c r="B15" s="180" t="s">
        <v>1</v>
      </c>
      <c r="C15" s="180" t="s">
        <v>2</v>
      </c>
      <c r="D15" s="180" t="s">
        <v>310</v>
      </c>
      <c r="E15" s="180" t="s">
        <v>301</v>
      </c>
      <c r="F15" s="188" t="s">
        <v>311</v>
      </c>
      <c r="G15" s="180" t="s">
        <v>110</v>
      </c>
      <c r="H15" s="188" t="s">
        <v>312</v>
      </c>
      <c r="I15" s="180" t="s">
        <v>307</v>
      </c>
      <c r="J15" s="257"/>
      <c r="K15" s="348"/>
      <c r="L15" s="387"/>
      <c r="M15" s="387"/>
      <c r="N15" s="387"/>
      <c r="O15" s="387"/>
      <c r="P15" s="387"/>
      <c r="Q15" s="387"/>
      <c r="R15" s="387"/>
      <c r="IV15" s="257"/>
    </row>
    <row r="16" spans="1:256" s="181" customFormat="1" ht="21.75" customHeight="1">
      <c r="A16" s="258"/>
      <c r="B16" s="182">
        <f>Data!B13</f>
        <v>30987</v>
      </c>
      <c r="C16" s="182">
        <f>Data!C13</f>
        <v>34638</v>
      </c>
      <c r="D16" s="184">
        <f>'Calculation sheet'!D10</f>
        <v>10</v>
      </c>
      <c r="E16" s="184">
        <f>'Calculation sheet'!E10</f>
        <v>1</v>
      </c>
      <c r="F16" s="185">
        <f>Data!D13</f>
        <v>10</v>
      </c>
      <c r="G16" s="183">
        <f>'Calculation sheet'!H10</f>
        <v>120</v>
      </c>
      <c r="H16" s="340">
        <f>'Calculation sheet'!I10</f>
        <v>375</v>
      </c>
      <c r="I16" s="180">
        <f>'Calculation sheet'!J10</f>
        <v>825</v>
      </c>
      <c r="J16" s="257"/>
      <c r="K16" s="349"/>
      <c r="L16" s="388"/>
      <c r="M16" s="388"/>
      <c r="N16" s="388"/>
      <c r="O16" s="388"/>
      <c r="P16" s="388"/>
      <c r="Q16" s="388"/>
      <c r="R16" s="388"/>
      <c r="IV16" s="258"/>
    </row>
    <row r="17" spans="1:256" s="181" customFormat="1" ht="21.75" customHeight="1">
      <c r="A17" s="258"/>
      <c r="B17" s="186">
        <f>Data!B14</f>
        <v>34639</v>
      </c>
      <c r="C17" s="186">
        <f>Data!C14</f>
        <v>36099</v>
      </c>
      <c r="D17" s="184">
        <f>'Calculation sheet'!D11</f>
        <v>15</v>
      </c>
      <c r="E17" s="184">
        <f>'Calculation sheet'!E11</f>
        <v>1</v>
      </c>
      <c r="F17" s="185">
        <f>Data!D14</f>
        <v>15</v>
      </c>
      <c r="G17" s="187">
        <f>'Calculation sheet'!H11</f>
        <v>48</v>
      </c>
      <c r="H17" s="340">
        <f>'Calculation sheet'!I11</f>
        <v>216</v>
      </c>
      <c r="I17" s="180">
        <f>'Calculation sheet'!J11</f>
        <v>504</v>
      </c>
      <c r="J17" s="257"/>
      <c r="K17" s="349"/>
      <c r="L17" s="388"/>
      <c r="M17" s="388"/>
      <c r="N17" s="388"/>
      <c r="O17" s="388"/>
      <c r="P17" s="388"/>
      <c r="Q17" s="388"/>
      <c r="R17" s="388"/>
      <c r="IV17" s="258"/>
    </row>
    <row r="18" spans="1:256" s="181" customFormat="1" ht="21.75" customHeight="1">
      <c r="A18" s="258"/>
      <c r="B18" s="186">
        <f>Data!B15</f>
        <v>36100</v>
      </c>
      <c r="C18" s="186">
        <f>Data!C15</f>
        <v>41152</v>
      </c>
      <c r="D18" s="185">
        <f>'Calculation sheet'!D12</f>
        <v>15</v>
      </c>
      <c r="E18" s="185">
        <f>'Calculation sheet'!E12</f>
        <v>2</v>
      </c>
      <c r="F18" s="185">
        <f>Data!D15</f>
        <v>30</v>
      </c>
      <c r="G18" s="187">
        <f>'Calculation sheet'!H12</f>
        <v>166</v>
      </c>
      <c r="H18" s="340">
        <f>'Calculation sheet'!I12</f>
        <v>1494</v>
      </c>
      <c r="I18" s="180">
        <f>'Calculation sheet'!J12</f>
        <v>3486</v>
      </c>
      <c r="J18" s="257"/>
      <c r="K18" s="349"/>
      <c r="L18" s="388"/>
      <c r="M18" s="388"/>
      <c r="N18" s="388"/>
      <c r="O18" s="388"/>
      <c r="P18" s="388"/>
      <c r="Q18" s="388"/>
      <c r="R18" s="388"/>
      <c r="IV18" s="258"/>
    </row>
    <row r="19" spans="1:256" s="181" customFormat="1" ht="21.75" customHeight="1">
      <c r="A19" s="258"/>
      <c r="B19" s="186">
        <f>Data!B16</f>
        <v>0</v>
      </c>
      <c r="C19" s="186">
        <f>Data!C16</f>
        <v>0</v>
      </c>
      <c r="D19" s="185">
        <f>'Calculation sheet'!D13</f>
        <v>10</v>
      </c>
      <c r="E19" s="185">
        <f>'Calculation sheet'!E13</f>
        <v>0</v>
      </c>
      <c r="F19" s="185">
        <f>Data!D16</f>
        <v>0</v>
      </c>
      <c r="G19" s="187">
        <f>'Calculation sheet'!H13</f>
        <v>0</v>
      </c>
      <c r="H19" s="340">
        <f>'Calculation sheet'!I13</f>
        <v>0</v>
      </c>
      <c r="I19" s="180">
        <f>'Calculation sheet'!J13</f>
        <v>0</v>
      </c>
      <c r="J19" s="257"/>
      <c r="K19" s="349"/>
      <c r="L19" s="388"/>
      <c r="M19" s="388"/>
      <c r="N19" s="388"/>
      <c r="O19" s="388"/>
      <c r="P19" s="388"/>
      <c r="Q19" s="388"/>
      <c r="R19" s="388"/>
      <c r="IV19" s="258"/>
    </row>
    <row r="20" spans="1:256" s="181" customFormat="1" ht="21.75" customHeight="1">
      <c r="A20" s="258"/>
      <c r="B20" s="428" t="s">
        <v>18</v>
      </c>
      <c r="C20" s="428"/>
      <c r="D20" s="428"/>
      <c r="E20" s="428"/>
      <c r="F20" s="428"/>
      <c r="G20" s="428"/>
      <c r="H20" s="340">
        <f>SUM(H16:H19)</f>
        <v>2085</v>
      </c>
      <c r="I20" s="184">
        <f>SUM(I16:I19)</f>
        <v>4815</v>
      </c>
      <c r="J20" s="257"/>
      <c r="K20" s="349"/>
      <c r="L20" s="388"/>
      <c r="M20" s="388"/>
      <c r="N20" s="388"/>
      <c r="O20" s="388"/>
      <c r="P20" s="388"/>
      <c r="Q20" s="388"/>
      <c r="R20" s="388"/>
      <c r="IV20" s="258"/>
    </row>
    <row r="21" spans="1:256" ht="56.25" customHeight="1">
      <c r="A21" s="256"/>
      <c r="B21" s="426" t="str">
        <f>"            Sanctioned A.P.State Govt. Employees Group Insurance Scheme to "&amp;IF(Data!D7="Death Case",Data!C8&amp;" "&amp;Data!D8&amp;", "&amp;Data!D9&amp;" of "&amp;Data!C4&amp;" "&amp;Data!D4&amp;", "&amp;Data!D5,Data!D4&amp;", "&amp;Data!D5)&amp;" who is "&amp;IF(Data!D7="Retired Case","retired","died")&amp;" on "&amp;Data!I39&amp;" together with the Government share and  interest at prescribed rates on his "&amp;IF(Data!D7="Retired Case","retirement","death")&amp;" as follows."</f>
        <v>            Sanctioned A.P.State Govt. Employees Group Insurance Scheme to Bandi Babji, Driver who is retired on 31-8-2012 together with the Government share and  interest at prescribed rates on his retirement as follows.</v>
      </c>
      <c r="C21" s="426"/>
      <c r="D21" s="426"/>
      <c r="E21" s="426"/>
      <c r="F21" s="426"/>
      <c r="G21" s="426"/>
      <c r="H21" s="426"/>
      <c r="I21" s="426"/>
      <c r="J21" s="257"/>
      <c r="K21" s="348"/>
      <c r="IV21" s="256"/>
    </row>
    <row r="22" spans="1:256" s="138" customFormat="1" ht="21" customHeight="1">
      <c r="A22" s="259"/>
      <c r="B22" s="427" t="str">
        <f>"ACS with the interest up to "&amp;Data!I39&amp;" on Saving Fund of Rs."&amp;'Calculation sheet'!J14&amp;"/-"</f>
        <v>ACS with the interest up to 31-8-2012 on Saving Fund of Rs.4815/-</v>
      </c>
      <c r="C22" s="427"/>
      <c r="D22" s="427"/>
      <c r="E22" s="427"/>
      <c r="F22" s="427"/>
      <c r="G22" s="427"/>
      <c r="H22" s="137" t="s">
        <v>106</v>
      </c>
      <c r="I22" s="153">
        <f>'Calculation sheet'!G27</f>
        <v>11487</v>
      </c>
      <c r="J22" s="257"/>
      <c r="K22" s="350"/>
      <c r="L22" s="389"/>
      <c r="M22" s="389"/>
      <c r="N22" s="389"/>
      <c r="O22" s="389"/>
      <c r="P22" s="389"/>
      <c r="Q22" s="389"/>
      <c r="R22" s="389"/>
      <c r="IV22" s="259"/>
    </row>
    <row r="23" spans="1:256" ht="21" customHeight="1">
      <c r="A23" s="256"/>
      <c r="B23" s="427" t="s">
        <v>303</v>
      </c>
      <c r="C23" s="427"/>
      <c r="D23" s="427"/>
      <c r="E23" s="427"/>
      <c r="F23" s="427"/>
      <c r="G23" s="427"/>
      <c r="H23" s="137" t="s">
        <v>106</v>
      </c>
      <c r="I23" s="153">
        <f>'Calculation sheet'!G26</f>
        <v>4815</v>
      </c>
      <c r="J23" s="257"/>
      <c r="K23" s="348"/>
      <c r="IV23" s="256"/>
    </row>
    <row r="24" spans="1:256" s="141" customFormat="1" ht="21" customHeight="1">
      <c r="A24" s="260"/>
      <c r="B24" s="422" t="s">
        <v>239</v>
      </c>
      <c r="C24" s="422"/>
      <c r="D24" s="422"/>
      <c r="E24" s="422"/>
      <c r="F24" s="422"/>
      <c r="G24" s="422"/>
      <c r="H24" s="139" t="s">
        <v>106</v>
      </c>
      <c r="I24" s="140">
        <f>SUM(I22:I23)</f>
        <v>16302</v>
      </c>
      <c r="J24" s="257"/>
      <c r="K24" s="351"/>
      <c r="L24" s="390"/>
      <c r="M24" s="390"/>
      <c r="N24" s="390"/>
      <c r="O24" s="390"/>
      <c r="P24" s="390"/>
      <c r="Q24" s="390"/>
      <c r="R24" s="390"/>
      <c r="IV24" s="260"/>
    </row>
    <row r="25" spans="1:256" s="141" customFormat="1" ht="15" customHeight="1">
      <c r="A25" s="260"/>
      <c r="B25" s="422" t="s">
        <v>309</v>
      </c>
      <c r="C25" s="422"/>
      <c r="D25" s="422"/>
      <c r="E25" s="422"/>
      <c r="F25" s="422"/>
      <c r="G25" s="422"/>
      <c r="H25" s="422"/>
      <c r="I25" s="422"/>
      <c r="J25" s="257"/>
      <c r="K25" s="351"/>
      <c r="L25" s="390"/>
      <c r="M25" s="390"/>
      <c r="N25" s="390"/>
      <c r="O25" s="390"/>
      <c r="P25" s="390"/>
      <c r="Q25" s="390"/>
      <c r="R25" s="390"/>
      <c r="IV25" s="260"/>
    </row>
    <row r="26" spans="1:256" ht="46.5" customHeight="1">
      <c r="A26" s="256"/>
      <c r="B26" s="427" t="s">
        <v>327</v>
      </c>
      <c r="C26" s="427"/>
      <c r="D26" s="427"/>
      <c r="E26" s="427"/>
      <c r="F26" s="427"/>
      <c r="G26" s="427"/>
      <c r="H26" s="427"/>
      <c r="I26" s="427"/>
      <c r="J26" s="257"/>
      <c r="K26" s="348"/>
      <c r="IV26" s="256"/>
    </row>
    <row r="27" spans="1:256" ht="18.75" customHeight="1">
      <c r="A27" s="256"/>
      <c r="J27" s="257"/>
      <c r="K27" s="348"/>
      <c r="IV27" s="256"/>
    </row>
    <row r="28" spans="1:256" ht="20.25" customHeight="1">
      <c r="A28" s="256"/>
      <c r="B28" s="142" t="s">
        <v>233</v>
      </c>
      <c r="G28" s="423" t="str">
        <f>Data!C22</f>
        <v>District Forest Officer</v>
      </c>
      <c r="H28" s="423"/>
      <c r="I28" s="423"/>
      <c r="J28" s="257"/>
      <c r="K28" s="348"/>
      <c r="IV28" s="256"/>
    </row>
    <row r="29" spans="1:256" ht="15" customHeight="1">
      <c r="A29" s="256"/>
      <c r="B29" s="142" t="s">
        <v>234</v>
      </c>
      <c r="G29" s="424" t="str">
        <f>Data!C23</f>
        <v>Kakinada Division, Kakinada</v>
      </c>
      <c r="H29" s="424"/>
      <c r="I29" s="424"/>
      <c r="J29" s="257"/>
      <c r="K29" s="348"/>
      <c r="IV29" s="256"/>
    </row>
    <row r="30" spans="1:256" ht="15.75" customHeight="1">
      <c r="A30" s="256"/>
      <c r="B30" s="142" t="s">
        <v>235</v>
      </c>
      <c r="J30" s="257"/>
      <c r="K30" s="348"/>
      <c r="IV30" s="256"/>
    </row>
    <row r="31" spans="1:256" ht="14.25" customHeight="1">
      <c r="A31" s="256"/>
      <c r="B31" s="129" t="str">
        <f>Data!C20</f>
        <v>DTO, Kakinada</v>
      </c>
      <c r="J31" s="257"/>
      <c r="K31" s="348"/>
      <c r="IV31" s="256"/>
    </row>
    <row r="32" spans="10:18" s="256" customFormat="1" ht="19.5" customHeight="1">
      <c r="J32" s="257"/>
      <c r="K32" s="348"/>
      <c r="L32" s="387"/>
      <c r="M32" s="387"/>
      <c r="N32" s="387"/>
      <c r="O32" s="387"/>
      <c r="P32" s="387"/>
      <c r="Q32" s="387"/>
      <c r="R32" s="387"/>
    </row>
  </sheetData>
  <sheetProtection password="D590" sheet="1" formatRows="0" selectLockedCells="1"/>
  <mergeCells count="14">
    <mergeCell ref="G29:I29"/>
    <mergeCell ref="B14:I14"/>
    <mergeCell ref="B21:I21"/>
    <mergeCell ref="B22:G22"/>
    <mergeCell ref="B20:G20"/>
    <mergeCell ref="B26:I26"/>
    <mergeCell ref="B23:G23"/>
    <mergeCell ref="B24:G24"/>
    <mergeCell ref="B2:I2"/>
    <mergeCell ref="B3:I3"/>
    <mergeCell ref="C6:I6"/>
    <mergeCell ref="B13:I13"/>
    <mergeCell ref="B25:I25"/>
    <mergeCell ref="G28:I28"/>
  </mergeCells>
  <conditionalFormatting sqref="C19 B19:B20 F19">
    <cfRule type="expression" priority="7" dxfId="12" stopIfTrue="1">
      <formula>$F$19=0</formula>
    </cfRule>
  </conditionalFormatting>
  <conditionalFormatting sqref="F18 B18:C18">
    <cfRule type="expression" priority="10" dxfId="12" stopIfTrue="1">
      <formula>$F$18=0</formula>
    </cfRule>
  </conditionalFormatting>
  <conditionalFormatting sqref="F17 B17:C17">
    <cfRule type="expression" priority="13" dxfId="12" stopIfTrue="1">
      <formula>$F$17=0</formula>
    </cfRule>
  </conditionalFormatting>
  <conditionalFormatting sqref="D18:D19">
    <cfRule type="expression" priority="3" dxfId="12" stopIfTrue="1">
      <formula>$F$18=0</formula>
    </cfRule>
  </conditionalFormatting>
  <conditionalFormatting sqref="E18">
    <cfRule type="expression" priority="2" dxfId="12" stopIfTrue="1">
      <formula>$F$18=0</formula>
    </cfRule>
  </conditionalFormatting>
  <conditionalFormatting sqref="E19">
    <cfRule type="expression" priority="1" dxfId="12" stopIfTrue="1">
      <formula>$F$18=0</formula>
    </cfRule>
  </conditionalFormatting>
  <printOptions/>
  <pageMargins left="0.56" right="0.47" top="0.38" bottom="0.33"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BK268"/>
  <sheetViews>
    <sheetView showGridLines="0" showRowColHeaders="0" zoomScalePageLayoutView="0" workbookViewId="0" topLeftCell="A1">
      <selection activeCell="G27" sqref="G27"/>
    </sheetView>
  </sheetViews>
  <sheetFormatPr defaultColWidth="0" defaultRowHeight="15" zeroHeight="1"/>
  <cols>
    <col min="1" max="1" width="4.8515625" style="272" customWidth="1"/>
    <col min="2" max="2" width="14.00390625" style="85" customWidth="1"/>
    <col min="3" max="3" width="13.28125" style="85" customWidth="1"/>
    <col min="4" max="4" width="11.140625" style="85" customWidth="1"/>
    <col min="5" max="6" width="14.7109375" style="85" customWidth="1"/>
    <col min="7" max="7" width="12.8515625" style="85" customWidth="1"/>
    <col min="8" max="10" width="10.8515625" style="85" customWidth="1"/>
    <col min="11" max="11" width="15.421875" style="272" customWidth="1"/>
    <col min="12" max="13" width="10.421875" style="85" hidden="1" customWidth="1"/>
    <col min="14" max="14" width="15.8515625" style="85" hidden="1" customWidth="1"/>
    <col min="15" max="15" width="8.57421875" style="85" hidden="1" customWidth="1"/>
    <col min="16" max="16" width="4.140625" style="85" hidden="1" customWidth="1"/>
    <col min="17" max="17" width="9.57421875" style="85" hidden="1" customWidth="1"/>
    <col min="18" max="20" width="10.421875" style="85" hidden="1" customWidth="1"/>
    <col min="21" max="21" width="11.421875" style="85" hidden="1" customWidth="1"/>
    <col min="22" max="22" width="11.00390625" style="85" hidden="1" customWidth="1"/>
    <col min="23" max="23" width="8.8515625" style="85" hidden="1" customWidth="1"/>
    <col min="24" max="24" width="10.00390625" style="85" hidden="1" customWidth="1"/>
    <col min="25" max="25" width="6.8515625" style="85" hidden="1" customWidth="1"/>
    <col min="26" max="26" width="8.8515625" style="85" hidden="1" customWidth="1"/>
    <col min="27" max="27" width="6.140625" style="85" hidden="1" customWidth="1"/>
    <col min="28" max="29" width="2.00390625" style="85" hidden="1" customWidth="1"/>
    <col min="30" max="30" width="5.00390625" style="85" hidden="1" customWidth="1"/>
    <col min="31" max="31" width="4.00390625" style="85" hidden="1" customWidth="1"/>
    <col min="32" max="33" width="2.00390625" style="85" hidden="1" customWidth="1"/>
    <col min="34" max="34" width="19.8515625" style="85" hidden="1" customWidth="1"/>
    <col min="35" max="35" width="13.57421875" style="85" hidden="1" customWidth="1"/>
    <col min="36" max="36" width="7.00390625" style="85" hidden="1" customWidth="1"/>
    <col min="37" max="37" width="9.7109375" style="85" hidden="1" customWidth="1"/>
    <col min="38" max="49" width="5.00390625" style="85" hidden="1" customWidth="1"/>
    <col min="50" max="50" width="26.421875" style="85" hidden="1" customWidth="1"/>
    <col min="51" max="51" width="9.57421875" style="85" hidden="1" customWidth="1"/>
    <col min="52" max="63" width="5.57421875" style="85" hidden="1" customWidth="1"/>
    <col min="64" max="255" width="26.421875" style="85" hidden="1" customWidth="1"/>
    <col min="256" max="16384" width="15.7109375" style="85" hidden="1" customWidth="1"/>
  </cols>
  <sheetData>
    <row r="1" spans="2:10" ht="21.75" customHeight="1">
      <c r="B1" s="272"/>
      <c r="C1" s="272"/>
      <c r="D1" s="272"/>
      <c r="E1" s="272"/>
      <c r="F1" s="272"/>
      <c r="G1" s="272"/>
      <c r="H1" s="272"/>
      <c r="I1" s="272"/>
      <c r="J1" s="272"/>
    </row>
    <row r="2" spans="2:63" ht="33.75" customHeight="1">
      <c r="B2" s="430" t="str">
        <f>"Calculation of Saving Fund under A.P. Employees Group Insurance Scheme in respect of  "&amp;Data!D4&amp;", "&amp;Data!D5&amp;", O/o the "&amp;Data!D6&amp;" who is retired on "&amp;Data!I39</f>
        <v>Calculation of Saving Fund under A.P. Employees Group Insurance Scheme in respect of  Bandi Babji, Driver, O/o the Sub-Divisional Forest Officer, R.C.Varam who is retired on 31-8-2012</v>
      </c>
      <c r="C2" s="430"/>
      <c r="D2" s="430"/>
      <c r="E2" s="430"/>
      <c r="F2" s="430"/>
      <c r="G2" s="430"/>
      <c r="H2" s="430"/>
      <c r="I2" s="430"/>
      <c r="J2" s="430"/>
      <c r="AB2" s="434" t="s">
        <v>243</v>
      </c>
      <c r="AC2" s="435"/>
      <c r="AD2" s="190"/>
      <c r="AE2" s="434" t="s">
        <v>156</v>
      </c>
      <c r="AF2" s="435"/>
      <c r="AG2" s="86"/>
      <c r="AH2" s="87" t="s">
        <v>113</v>
      </c>
      <c r="AI2" s="87" t="s">
        <v>114</v>
      </c>
      <c r="AK2" s="85">
        <v>1</v>
      </c>
      <c r="AL2" s="85">
        <v>2</v>
      </c>
      <c r="AM2" s="85">
        <v>3</v>
      </c>
      <c r="AN2" s="85">
        <v>4</v>
      </c>
      <c r="AO2" s="85">
        <v>5</v>
      </c>
      <c r="AP2" s="85">
        <v>6</v>
      </c>
      <c r="AQ2" s="85">
        <v>7</v>
      </c>
      <c r="AR2" s="85">
        <v>8</v>
      </c>
      <c r="AS2" s="85">
        <v>9</v>
      </c>
      <c r="AT2" s="85">
        <v>10</v>
      </c>
      <c r="AU2" s="85">
        <v>11</v>
      </c>
      <c r="AV2" s="85">
        <v>12</v>
      </c>
      <c r="AW2" s="85">
        <v>13</v>
      </c>
      <c r="AY2" s="88">
        <v>1</v>
      </c>
      <c r="AZ2" s="88">
        <v>2</v>
      </c>
      <c r="BA2" s="88">
        <v>3</v>
      </c>
      <c r="BB2" s="88">
        <v>4</v>
      </c>
      <c r="BC2" s="88">
        <v>5</v>
      </c>
      <c r="BD2" s="88">
        <v>6</v>
      </c>
      <c r="BE2" s="88">
        <v>7</v>
      </c>
      <c r="BF2" s="88">
        <v>8</v>
      </c>
      <c r="BG2" s="88">
        <v>9</v>
      </c>
      <c r="BH2" s="88">
        <v>10</v>
      </c>
      <c r="BI2" s="88">
        <v>11</v>
      </c>
      <c r="BJ2" s="88">
        <v>12</v>
      </c>
      <c r="BK2" s="88">
        <v>13</v>
      </c>
    </row>
    <row r="3" spans="8:63" ht="9" customHeight="1">
      <c r="H3" s="89"/>
      <c r="I3" s="89"/>
      <c r="J3" s="89"/>
      <c r="AH3" s="90">
        <v>1</v>
      </c>
      <c r="AI3" s="91">
        <v>86</v>
      </c>
      <c r="AK3" s="195" t="s">
        <v>115</v>
      </c>
      <c r="AL3" s="196" t="s">
        <v>116</v>
      </c>
      <c r="AM3" s="196" t="s">
        <v>117</v>
      </c>
      <c r="AN3" s="196" t="s">
        <v>118</v>
      </c>
      <c r="AO3" s="196" t="s">
        <v>124</v>
      </c>
      <c r="AP3" s="196" t="s">
        <v>125</v>
      </c>
      <c r="AQ3" s="196" t="s">
        <v>126</v>
      </c>
      <c r="AR3" s="196" t="s">
        <v>119</v>
      </c>
      <c r="AS3" s="196" t="s">
        <v>120</v>
      </c>
      <c r="AT3" s="196" t="s">
        <v>121</v>
      </c>
      <c r="AU3" s="196" t="s">
        <v>122</v>
      </c>
      <c r="AV3" s="196" t="s">
        <v>241</v>
      </c>
      <c r="AW3" s="196" t="s">
        <v>128</v>
      </c>
      <c r="AY3" s="201" t="s">
        <v>123</v>
      </c>
      <c r="AZ3" s="201" t="s">
        <v>116</v>
      </c>
      <c r="BA3" s="201" t="s">
        <v>117</v>
      </c>
      <c r="BB3" s="201" t="s">
        <v>118</v>
      </c>
      <c r="BC3" s="201" t="s">
        <v>124</v>
      </c>
      <c r="BD3" s="201" t="s">
        <v>125</v>
      </c>
      <c r="BE3" s="201" t="s">
        <v>126</v>
      </c>
      <c r="BF3" s="201" t="s">
        <v>119</v>
      </c>
      <c r="BG3" s="201" t="s">
        <v>120</v>
      </c>
      <c r="BH3" s="201" t="s">
        <v>121</v>
      </c>
      <c r="BI3" s="201" t="s">
        <v>122</v>
      </c>
      <c r="BJ3" s="201" t="s">
        <v>127</v>
      </c>
      <c r="BK3" s="201" t="s">
        <v>128</v>
      </c>
    </row>
    <row r="4" spans="2:63" ht="15.75" customHeight="1">
      <c r="B4" s="89" t="s">
        <v>286</v>
      </c>
      <c r="C4" s="89"/>
      <c r="D4" s="89"/>
      <c r="E4" s="89" t="s">
        <v>288</v>
      </c>
      <c r="F4" s="150">
        <f>Data!B13</f>
        <v>30987</v>
      </c>
      <c r="H4" s="89"/>
      <c r="I4" s="89"/>
      <c r="J4" s="89"/>
      <c r="AH4" s="90">
        <v>2</v>
      </c>
      <c r="AI4" s="91">
        <v>181</v>
      </c>
      <c r="AK4" s="196" t="s">
        <v>129</v>
      </c>
      <c r="AL4" s="197">
        <v>1</v>
      </c>
      <c r="AM4" s="197">
        <v>2</v>
      </c>
      <c r="AN4" s="197">
        <v>3</v>
      </c>
      <c r="AO4" s="197">
        <v>3</v>
      </c>
      <c r="AP4" s="197">
        <v>4</v>
      </c>
      <c r="AQ4" s="197">
        <v>5</v>
      </c>
      <c r="AR4" s="197">
        <v>6</v>
      </c>
      <c r="AS4" s="197">
        <v>7</v>
      </c>
      <c r="AT4" s="197">
        <v>8</v>
      </c>
      <c r="AU4" s="197">
        <v>9</v>
      </c>
      <c r="AV4" s="197">
        <v>10</v>
      </c>
      <c r="AW4" s="197">
        <v>11</v>
      </c>
      <c r="AY4" s="196" t="s">
        <v>129</v>
      </c>
      <c r="AZ4" s="202">
        <v>11</v>
      </c>
      <c r="BA4" s="202">
        <v>21</v>
      </c>
      <c r="BB4" s="202">
        <v>32</v>
      </c>
      <c r="BC4" s="202">
        <v>43</v>
      </c>
      <c r="BD4" s="202">
        <v>54</v>
      </c>
      <c r="BE4" s="202">
        <v>65</v>
      </c>
      <c r="BF4" s="202">
        <v>76</v>
      </c>
      <c r="BG4" s="202">
        <v>87</v>
      </c>
      <c r="BH4" s="202">
        <v>98</v>
      </c>
      <c r="BI4" s="202">
        <v>110</v>
      </c>
      <c r="BJ4" s="202">
        <v>121</v>
      </c>
      <c r="BK4" s="202">
        <v>133</v>
      </c>
    </row>
    <row r="5" spans="2:63" ht="15.75" customHeight="1">
      <c r="B5" s="89" t="s">
        <v>287</v>
      </c>
      <c r="C5" s="89"/>
      <c r="D5" s="89"/>
      <c r="E5" s="89" t="s">
        <v>288</v>
      </c>
      <c r="F5" s="150">
        <f>MAX(Data!C13:C17)</f>
        <v>41152</v>
      </c>
      <c r="H5" s="89"/>
      <c r="I5" s="89"/>
      <c r="J5" s="89"/>
      <c r="AH5" s="90">
        <v>3</v>
      </c>
      <c r="AI5" s="91">
        <v>286</v>
      </c>
      <c r="AK5" s="196" t="s">
        <v>130</v>
      </c>
      <c r="AL5" s="197">
        <v>12</v>
      </c>
      <c r="AM5" s="197">
        <v>13</v>
      </c>
      <c r="AN5" s="197">
        <v>14</v>
      </c>
      <c r="AO5" s="197">
        <v>15</v>
      </c>
      <c r="AP5" s="197">
        <v>16</v>
      </c>
      <c r="AQ5" s="197">
        <v>17</v>
      </c>
      <c r="AR5" s="197">
        <v>18</v>
      </c>
      <c r="AS5" s="197">
        <v>19</v>
      </c>
      <c r="AT5" s="197">
        <v>20</v>
      </c>
      <c r="AU5" s="197">
        <v>21</v>
      </c>
      <c r="AV5" s="197">
        <v>22</v>
      </c>
      <c r="AW5" s="197">
        <v>23</v>
      </c>
      <c r="AY5" s="196" t="s">
        <v>130</v>
      </c>
      <c r="AZ5" s="202">
        <v>145</v>
      </c>
      <c r="BA5" s="202">
        <v>157</v>
      </c>
      <c r="BB5" s="202">
        <v>169</v>
      </c>
      <c r="BC5" s="202">
        <v>181</v>
      </c>
      <c r="BD5" s="202">
        <v>193</v>
      </c>
      <c r="BE5" s="202">
        <v>206</v>
      </c>
      <c r="BF5" s="202">
        <v>218</v>
      </c>
      <c r="BG5" s="202">
        <v>231</v>
      </c>
      <c r="BH5" s="202">
        <v>244</v>
      </c>
      <c r="BI5" s="202">
        <v>257</v>
      </c>
      <c r="BJ5" s="202">
        <v>270</v>
      </c>
      <c r="BK5" s="202">
        <v>283</v>
      </c>
    </row>
    <row r="6" spans="2:63" ht="15.75" customHeight="1">
      <c r="B6" s="85" t="s">
        <v>300</v>
      </c>
      <c r="C6" s="89"/>
      <c r="D6" s="89"/>
      <c r="E6" s="89" t="s">
        <v>288</v>
      </c>
      <c r="F6" s="151" t="s">
        <v>290</v>
      </c>
      <c r="H6" s="89"/>
      <c r="I6" s="89"/>
      <c r="J6" s="89"/>
      <c r="AH6" s="90">
        <v>4</v>
      </c>
      <c r="AI6" s="91">
        <v>402</v>
      </c>
      <c r="AK6" s="196" t="s">
        <v>131</v>
      </c>
      <c r="AL6" s="197">
        <v>24</v>
      </c>
      <c r="AM6" s="197">
        <v>25</v>
      </c>
      <c r="AN6" s="197">
        <v>26</v>
      </c>
      <c r="AO6" s="197">
        <v>27</v>
      </c>
      <c r="AP6" s="197">
        <v>28</v>
      </c>
      <c r="AQ6" s="197">
        <v>30</v>
      </c>
      <c r="AR6" s="197">
        <v>31</v>
      </c>
      <c r="AS6" s="197">
        <v>32</v>
      </c>
      <c r="AT6" s="197">
        <v>33</v>
      </c>
      <c r="AU6" s="197">
        <v>34</v>
      </c>
      <c r="AV6" s="197">
        <v>35</v>
      </c>
      <c r="AW6" s="197">
        <v>37</v>
      </c>
      <c r="AY6" s="196" t="s">
        <v>131</v>
      </c>
      <c r="AZ6" s="202">
        <v>296</v>
      </c>
      <c r="BA6" s="202">
        <v>310</v>
      </c>
      <c r="BB6" s="202">
        <v>323</v>
      </c>
      <c r="BC6" s="202">
        <v>337</v>
      </c>
      <c r="BD6" s="202">
        <v>351</v>
      </c>
      <c r="BE6" s="202">
        <v>365</v>
      </c>
      <c r="BF6" s="202">
        <v>379</v>
      </c>
      <c r="BG6" s="202">
        <v>393</v>
      </c>
      <c r="BH6" s="202">
        <v>407</v>
      </c>
      <c r="BI6" s="202">
        <v>422</v>
      </c>
      <c r="BJ6" s="202">
        <v>437</v>
      </c>
      <c r="BK6" s="202">
        <v>451</v>
      </c>
    </row>
    <row r="7" spans="8:63" ht="9" customHeight="1">
      <c r="H7" s="89"/>
      <c r="I7" s="89"/>
      <c r="J7" s="89"/>
      <c r="AH7" s="90">
        <v>5</v>
      </c>
      <c r="AI7" s="91">
        <v>530</v>
      </c>
      <c r="AK7" s="196" t="s">
        <v>132</v>
      </c>
      <c r="AL7" s="197">
        <v>38</v>
      </c>
      <c r="AM7" s="197">
        <v>39</v>
      </c>
      <c r="AN7" s="197">
        <v>40</v>
      </c>
      <c r="AO7" s="197">
        <v>42</v>
      </c>
      <c r="AP7" s="197">
        <v>43</v>
      </c>
      <c r="AQ7" s="197">
        <v>44</v>
      </c>
      <c r="AR7" s="197">
        <v>45</v>
      </c>
      <c r="AS7" s="197">
        <v>47</v>
      </c>
      <c r="AT7" s="197">
        <v>48</v>
      </c>
      <c r="AU7" s="197">
        <v>49</v>
      </c>
      <c r="AV7" s="197">
        <v>51</v>
      </c>
      <c r="AW7" s="197">
        <v>52</v>
      </c>
      <c r="AY7" s="196" t="s">
        <v>132</v>
      </c>
      <c r="AZ7" s="202">
        <v>466</v>
      </c>
      <c r="BA7" s="202">
        <v>482</v>
      </c>
      <c r="BB7" s="202">
        <v>497</v>
      </c>
      <c r="BC7" s="202">
        <v>512</v>
      </c>
      <c r="BD7" s="202">
        <v>528</v>
      </c>
      <c r="BE7" s="202">
        <v>544</v>
      </c>
      <c r="BF7" s="202">
        <v>559</v>
      </c>
      <c r="BG7" s="202">
        <v>575</v>
      </c>
      <c r="BH7" s="202">
        <v>592</v>
      </c>
      <c r="BI7" s="202">
        <v>608</v>
      </c>
      <c r="BJ7" s="202">
        <v>625</v>
      </c>
      <c r="BK7" s="202">
        <v>641</v>
      </c>
    </row>
    <row r="8" spans="2:63" ht="18" customHeight="1">
      <c r="B8" s="94" t="s">
        <v>4</v>
      </c>
      <c r="C8" s="89"/>
      <c r="D8" s="89"/>
      <c r="E8" s="89"/>
      <c r="F8" s="89"/>
      <c r="G8" s="89"/>
      <c r="H8" s="89"/>
      <c r="I8" s="89"/>
      <c r="J8" s="89"/>
      <c r="Z8" s="436" t="s">
        <v>9</v>
      </c>
      <c r="AA8" s="436"/>
      <c r="AB8" s="85">
        <f>IF($E$19=AI3,VLOOKUP($P$19,AK4:AW23,$O$19),0)</f>
        <v>0</v>
      </c>
      <c r="AC8" s="85">
        <f>IF($E$20=AI3,VLOOKUP($P$20,AK4:AW23,$O$20),0)</f>
        <v>0</v>
      </c>
      <c r="AD8" s="85">
        <f>IF(YEAR(B19)=1994,VLOOKUP(P19,AY4:BK23,O19),0)</f>
        <v>0</v>
      </c>
      <c r="AE8" s="85">
        <f>IF(YEAR(B20)=1994,VLOOKUP(P20,AY4:BK23,O20),0)</f>
        <v>5457</v>
      </c>
      <c r="AF8" s="85">
        <f>IF(YEAR(B21)=1994,VLOOKUP(P21,AY4:BK23,O21),0)</f>
        <v>0</v>
      </c>
      <c r="AG8" s="85">
        <f>IF(YEAR(B22)=1994,VLOOKUP(P22,AY4:BK23,O22),0)</f>
        <v>0</v>
      </c>
      <c r="AH8" s="90">
        <v>6</v>
      </c>
      <c r="AI8" s="91">
        <v>669</v>
      </c>
      <c r="AK8" s="196" t="s">
        <v>133</v>
      </c>
      <c r="AL8" s="197">
        <v>53</v>
      </c>
      <c r="AM8" s="197">
        <v>55</v>
      </c>
      <c r="AN8" s="197">
        <v>56</v>
      </c>
      <c r="AO8" s="197">
        <v>58</v>
      </c>
      <c r="AP8" s="197">
        <v>59</v>
      </c>
      <c r="AQ8" s="197">
        <v>60</v>
      </c>
      <c r="AR8" s="197">
        <v>62</v>
      </c>
      <c r="AS8" s="197">
        <v>63</v>
      </c>
      <c r="AT8" s="197">
        <v>65</v>
      </c>
      <c r="AU8" s="197">
        <v>66</v>
      </c>
      <c r="AV8" s="197">
        <v>68</v>
      </c>
      <c r="AW8" s="197">
        <v>69</v>
      </c>
      <c r="AX8" s="169"/>
      <c r="AY8" s="196" t="s">
        <v>133</v>
      </c>
      <c r="AZ8" s="202">
        <v>658</v>
      </c>
      <c r="BA8" s="202">
        <v>675</v>
      </c>
      <c r="BB8" s="202">
        <v>692</v>
      </c>
      <c r="BC8" s="202">
        <v>710</v>
      </c>
      <c r="BD8" s="202">
        <v>727</v>
      </c>
      <c r="BE8" s="202">
        <v>745</v>
      </c>
      <c r="BF8" s="202">
        <v>763</v>
      </c>
      <c r="BG8" s="202">
        <v>781</v>
      </c>
      <c r="BH8" s="202">
        <v>799</v>
      </c>
      <c r="BI8" s="202">
        <v>817</v>
      </c>
      <c r="BJ8" s="202">
        <v>836</v>
      </c>
      <c r="BK8" s="202">
        <v>855</v>
      </c>
    </row>
    <row r="9" spans="1:63" s="169" customFormat="1" ht="38.25">
      <c r="A9" s="312"/>
      <c r="B9" s="165" t="s">
        <v>5</v>
      </c>
      <c r="C9" s="165" t="s">
        <v>6</v>
      </c>
      <c r="D9" s="166" t="s">
        <v>302</v>
      </c>
      <c r="E9" s="167" t="s">
        <v>301</v>
      </c>
      <c r="F9" s="168" t="s">
        <v>308</v>
      </c>
      <c r="G9" s="165" t="s">
        <v>291</v>
      </c>
      <c r="H9" s="166" t="s">
        <v>10</v>
      </c>
      <c r="I9" s="166" t="s">
        <v>303</v>
      </c>
      <c r="J9" s="166" t="s">
        <v>307</v>
      </c>
      <c r="K9" s="272"/>
      <c r="R9" s="169" t="s">
        <v>298</v>
      </c>
      <c r="S9" s="170" t="s">
        <v>292</v>
      </c>
      <c r="T9" s="170" t="s">
        <v>291</v>
      </c>
      <c r="V9" s="170" t="s">
        <v>295</v>
      </c>
      <c r="W9" s="170" t="s">
        <v>293</v>
      </c>
      <c r="X9" s="170" t="s">
        <v>294</v>
      </c>
      <c r="Y9" s="171" t="s">
        <v>296</v>
      </c>
      <c r="Z9" s="170" t="s">
        <v>293</v>
      </c>
      <c r="AA9" s="170" t="s">
        <v>294</v>
      </c>
      <c r="AB9" s="169">
        <f>IF($E$19=AI4,VLOOKUP($P$19,AK25:AW44,$O$19),0)</f>
        <v>0</v>
      </c>
      <c r="AC9" s="169">
        <f>IF($E$20=AI4,VLOOKUP($P$20,AK25:AW44,$O$20),0)</f>
        <v>0</v>
      </c>
      <c r="AD9" s="169">
        <f>IF(YEAR(B19)=1995,VLOOKUP(P19,AY25:BK43,O19),0)</f>
        <v>0</v>
      </c>
      <c r="AE9" s="169">
        <f>IF(YEAR(B20)=1995,VLOOKUP(P20,AY25:BK43,O20),0)</f>
        <v>0</v>
      </c>
      <c r="AF9" s="169">
        <f>IF(YEAR(B21)=1995,VLOOKUP(P21,AY25:BK43,O21),0)</f>
        <v>0</v>
      </c>
      <c r="AG9" s="169">
        <f>IF(YEAR(B22)=1995,VLOOKUP(P22,AY25:BK43,O22),0)</f>
        <v>0</v>
      </c>
      <c r="AH9" s="172">
        <v>7</v>
      </c>
      <c r="AI9" s="173">
        <v>822</v>
      </c>
      <c r="AK9" s="196" t="s">
        <v>134</v>
      </c>
      <c r="AL9" s="197">
        <v>71</v>
      </c>
      <c r="AM9" s="197">
        <v>72</v>
      </c>
      <c r="AN9" s="197">
        <v>74</v>
      </c>
      <c r="AO9" s="197">
        <v>76</v>
      </c>
      <c r="AP9" s="197">
        <v>77</v>
      </c>
      <c r="AQ9" s="197">
        <v>78</v>
      </c>
      <c r="AR9" s="197">
        <v>80</v>
      </c>
      <c r="AS9" s="197">
        <v>81</v>
      </c>
      <c r="AT9" s="197">
        <v>83</v>
      </c>
      <c r="AU9" s="197">
        <v>85</v>
      </c>
      <c r="AV9" s="197">
        <v>86</v>
      </c>
      <c r="AW9" s="197">
        <v>88</v>
      </c>
      <c r="AX9" s="85"/>
      <c r="AY9" s="196" t="s">
        <v>134</v>
      </c>
      <c r="AZ9" s="202">
        <v>874</v>
      </c>
      <c r="BA9" s="202">
        <v>893</v>
      </c>
      <c r="BB9" s="202">
        <v>912</v>
      </c>
      <c r="BC9" s="202">
        <v>932</v>
      </c>
      <c r="BD9" s="202">
        <v>952</v>
      </c>
      <c r="BE9" s="202">
        <v>971</v>
      </c>
      <c r="BF9" s="202">
        <v>991</v>
      </c>
      <c r="BG9" s="202">
        <v>1010</v>
      </c>
      <c r="BH9" s="202">
        <v>1030</v>
      </c>
      <c r="BI9" s="202">
        <v>1050</v>
      </c>
      <c r="BJ9" s="202">
        <v>1069</v>
      </c>
      <c r="BK9" s="202">
        <v>1090</v>
      </c>
    </row>
    <row r="10" spans="2:63" ht="17.25" customHeight="1">
      <c r="B10" s="96">
        <f>Data!B13</f>
        <v>30987</v>
      </c>
      <c r="C10" s="96">
        <f>Data!C13</f>
        <v>34638</v>
      </c>
      <c r="D10" s="97">
        <f>V10</f>
        <v>10</v>
      </c>
      <c r="E10" s="97">
        <f>S10</f>
        <v>1</v>
      </c>
      <c r="F10" s="91">
        <f>Data!D13</f>
        <v>10</v>
      </c>
      <c r="G10" s="97" t="str">
        <f>IF(S10=1,"D",IF(S10=2,"C",IF(S10=4,"B",IF(S10=8,"A"))))</f>
        <v>D</v>
      </c>
      <c r="H10" s="97">
        <f>ROUND((C10-B10)*12/365,0)</f>
        <v>120</v>
      </c>
      <c r="I10" s="395">
        <f>W10*E10*H10</f>
        <v>375</v>
      </c>
      <c r="J10" s="163">
        <f>ROUND(X10*E10*H10,0)</f>
        <v>825</v>
      </c>
      <c r="L10" s="98">
        <v>30987</v>
      </c>
      <c r="M10" s="98">
        <v>34638</v>
      </c>
      <c r="N10" s="85" t="str">
        <f>DAY(B10)&amp;"-"&amp;MONTH(B10)&amp;"-"&amp;YEAR(B10)</f>
        <v>1-11-1984</v>
      </c>
      <c r="O10" s="85">
        <f>IF(B10&gt;=M10,F10/15,F10/10)</f>
        <v>1</v>
      </c>
      <c r="P10" s="85" t="str">
        <f>DAY(C10)&amp;"-"&amp;MONTH(C10)&amp;"-"&amp;YEAR(C10)</f>
        <v>31-10-1994</v>
      </c>
      <c r="R10" s="99">
        <f>IF(S10=0,"---",YEAR(B10))</f>
        <v>1984</v>
      </c>
      <c r="S10" s="97">
        <f>IF(B10&gt;=M10,F10/15,F10/10)</f>
        <v>1</v>
      </c>
      <c r="T10" s="97" t="str">
        <f>IF(S10=2,"C",IF(S10=4,"B",IF(S10=8,"A",IF(S10=1,"D"," "))))</f>
        <v>D</v>
      </c>
      <c r="U10" s="85" t="str">
        <f>DAY(M10)&amp;"-"&amp;MONTH(M10)&amp;"-"&amp;YEAR(M10)</f>
        <v>31-10-1994</v>
      </c>
      <c r="V10" s="95">
        <f>IF(B10&gt;=M10,15,10)</f>
        <v>10</v>
      </c>
      <c r="W10" s="95">
        <f>IF(V10=10,3.125,4.5)</f>
        <v>3.125</v>
      </c>
      <c r="X10" s="95">
        <f>IF(V10=10,6.875,10.5)</f>
        <v>6.875</v>
      </c>
      <c r="Y10" s="95">
        <f>ROUND((C10-B10)*12/365,0)</f>
        <v>120</v>
      </c>
      <c r="Z10" s="95">
        <f>W10*Y10*S10</f>
        <v>375</v>
      </c>
      <c r="AA10" s="95">
        <f>X10*Y10*S10</f>
        <v>825</v>
      </c>
      <c r="AB10" s="85">
        <f>IF($E$19=AI5,VLOOKUP($P$19,AK46:AW65,$O$19),0)</f>
        <v>0</v>
      </c>
      <c r="AC10" s="85">
        <f>IF($E$20=AI5,VLOOKUP($P$20,AK46:AW65,$O$20),0)</f>
        <v>0</v>
      </c>
      <c r="AD10" s="85">
        <f>IF(YEAR(B19)=1996,VLOOKUP(P19,AY46:BK63,O19),0)</f>
        <v>0</v>
      </c>
      <c r="AE10" s="85">
        <f>IF(YEAR(B20)=1996,VLOOKUP(P20,AY46:BK63,O20),0)</f>
        <v>0</v>
      </c>
      <c r="AF10" s="85">
        <f>IF(YEAR(B21)=1996,VLOOKUP(P21,AY46:BK63,O21),0)</f>
        <v>0</v>
      </c>
      <c r="AG10" s="85">
        <f>IF(YEAR(B22)=1996,VLOOKUP(P22,AY46:BK63,O22),0)</f>
        <v>0</v>
      </c>
      <c r="AH10" s="90">
        <v>8</v>
      </c>
      <c r="AI10" s="91">
        <v>990</v>
      </c>
      <c r="AK10" s="196" t="s">
        <v>135</v>
      </c>
      <c r="AL10" s="197">
        <v>89</v>
      </c>
      <c r="AM10" s="197">
        <v>91</v>
      </c>
      <c r="AN10" s="197">
        <v>92</v>
      </c>
      <c r="AO10" s="197">
        <v>94</v>
      </c>
      <c r="AP10" s="197">
        <v>96</v>
      </c>
      <c r="AQ10" s="197">
        <v>97</v>
      </c>
      <c r="AR10" s="197">
        <v>99</v>
      </c>
      <c r="AS10" s="197">
        <v>100</v>
      </c>
      <c r="AT10" s="197">
        <v>101</v>
      </c>
      <c r="AU10" s="197">
        <v>103</v>
      </c>
      <c r="AV10" s="197">
        <v>104</v>
      </c>
      <c r="AW10" s="197">
        <v>106</v>
      </c>
      <c r="AY10" s="196" t="s">
        <v>135</v>
      </c>
      <c r="AZ10" s="202">
        <v>1110</v>
      </c>
      <c r="BA10" s="202">
        <v>1131</v>
      </c>
      <c r="BB10" s="202">
        <v>1152</v>
      </c>
      <c r="BC10" s="202">
        <v>1173</v>
      </c>
      <c r="BD10" s="202">
        <v>1194</v>
      </c>
      <c r="BE10" s="202">
        <v>1214</v>
      </c>
      <c r="BF10" s="202">
        <v>1234</v>
      </c>
      <c r="BG10" s="202">
        <v>1254</v>
      </c>
      <c r="BH10" s="202">
        <v>1274</v>
      </c>
      <c r="BI10" s="202">
        <v>1295</v>
      </c>
      <c r="BJ10" s="202">
        <v>1315</v>
      </c>
      <c r="BK10" s="202">
        <v>1336</v>
      </c>
    </row>
    <row r="11" spans="2:63" ht="17.25" customHeight="1">
      <c r="B11" s="96">
        <f>Data!B14</f>
        <v>34639</v>
      </c>
      <c r="C11" s="96">
        <f>Data!C14</f>
        <v>36099</v>
      </c>
      <c r="D11" s="97">
        <f>V11</f>
        <v>15</v>
      </c>
      <c r="E11" s="97">
        <f>S11</f>
        <v>1</v>
      </c>
      <c r="F11" s="91">
        <f>Data!D14</f>
        <v>15</v>
      </c>
      <c r="G11" s="191" t="str">
        <f>IF(S11=1,"D",IF(S11=2,"C",IF(S11=4,"B",IF(S11=8,"A"))))</f>
        <v>D</v>
      </c>
      <c r="H11" s="97">
        <f>ROUND((C11-B11)*12/365,0)</f>
        <v>48</v>
      </c>
      <c r="I11" s="395">
        <f>W11*E11*H11</f>
        <v>216</v>
      </c>
      <c r="J11" s="163">
        <f>ROUND(X11*E11*H11,0)</f>
        <v>504</v>
      </c>
      <c r="L11" s="98">
        <v>30987</v>
      </c>
      <c r="M11" s="98">
        <v>34638</v>
      </c>
      <c r="N11" s="85" t="str">
        <f>DAY(B11)&amp;"-"&amp;MONTH(B11)&amp;"-"&amp;YEAR(B11)</f>
        <v>1-11-1994</v>
      </c>
      <c r="O11" s="85">
        <f>IF(B11&gt;=M11,F11/15,F11/10)</f>
        <v>1</v>
      </c>
      <c r="P11" s="85" t="str">
        <f>DAY(C11)&amp;"-"&amp;MONTH(C11)&amp;"-"&amp;YEAR(C11)</f>
        <v>31-10-1998</v>
      </c>
      <c r="Q11" s="85">
        <f>ROUND((C11-B10)/30/12,0)</f>
        <v>14</v>
      </c>
      <c r="R11" s="99">
        <f>IF(S11=0,"---",YEAR(B11))</f>
        <v>1994</v>
      </c>
      <c r="S11" s="97">
        <f>IF($B11&gt;=$M11,$F11/15,$F11/10)</f>
        <v>1</v>
      </c>
      <c r="T11" s="97" t="str">
        <f>IF(S11=2,"C",IF(S11=4,"B",IF(S11=8,"A",IF(S11=1,"D"," "))))</f>
        <v>D</v>
      </c>
      <c r="U11" s="85" t="str">
        <f>DAY(M11)&amp;"-"&amp;MONTH(M11)&amp;"-"&amp;YEAR(M11)</f>
        <v>31-10-1994</v>
      </c>
      <c r="V11" s="95">
        <f>IF(B11&gt;=M11,15,10)</f>
        <v>15</v>
      </c>
      <c r="W11" s="95">
        <f>IF(V11=10,3.125,4.5)</f>
        <v>4.5</v>
      </c>
      <c r="X11" s="95">
        <f>IF(V11=10,6.875,10.5)</f>
        <v>10.5</v>
      </c>
      <c r="Y11" s="95">
        <f>ROUND((C11-B11)*12/365,0)</f>
        <v>48</v>
      </c>
      <c r="Z11" s="95">
        <f>W11*Y11*S11</f>
        <v>216</v>
      </c>
      <c r="AA11" s="95">
        <f>X11*Y11*S11</f>
        <v>504</v>
      </c>
      <c r="AB11" s="85">
        <f>IF($E$19=AI6,VLOOKUP($P$19,AK67:AW86,$O$19),0)</f>
        <v>0</v>
      </c>
      <c r="AC11" s="85">
        <f>IF($E$20=AI6,VLOOKUP($P$20,AK67:AW86,$O$20),0)</f>
        <v>0</v>
      </c>
      <c r="AD11" s="85">
        <f>IF(YEAR(B19)=1997,VLOOKUP(P19,AY67:BK83,O19),0)</f>
        <v>0</v>
      </c>
      <c r="AE11" s="85">
        <f>IF(YEAR(B20)=1997,VLOOKUP(P20,AY67:BK83,O20),0)</f>
        <v>0</v>
      </c>
      <c r="AF11" s="100">
        <f>IF(YEAR(B21)=1997,VLOOKUP(P21,AY67:BK83,O21),0)</f>
        <v>0</v>
      </c>
      <c r="AG11" s="100">
        <f>IF(YEAR(B22)=1997,VLOOKUP(P22,AY67:BK83,O22),0)</f>
        <v>0</v>
      </c>
      <c r="AH11" s="90">
        <v>9</v>
      </c>
      <c r="AI11" s="91">
        <v>1179</v>
      </c>
      <c r="AK11" s="196" t="s">
        <v>136</v>
      </c>
      <c r="AL11" s="197">
        <v>107</v>
      </c>
      <c r="AM11" s="197">
        <v>109</v>
      </c>
      <c r="AN11" s="197">
        <v>110</v>
      </c>
      <c r="AO11" s="197">
        <v>112</v>
      </c>
      <c r="AP11" s="197">
        <v>114</v>
      </c>
      <c r="AQ11" s="197">
        <v>115</v>
      </c>
      <c r="AR11" s="197">
        <v>117</v>
      </c>
      <c r="AS11" s="197">
        <v>118</v>
      </c>
      <c r="AT11" s="197">
        <v>120</v>
      </c>
      <c r="AU11" s="197">
        <v>121</v>
      </c>
      <c r="AV11" s="197">
        <v>123</v>
      </c>
      <c r="AW11" s="197">
        <v>124</v>
      </c>
      <c r="AY11" s="196" t="s">
        <v>136</v>
      </c>
      <c r="AZ11" s="202">
        <v>1357</v>
      </c>
      <c r="BA11" s="202">
        <v>1378</v>
      </c>
      <c r="BB11" s="202">
        <v>1400</v>
      </c>
      <c r="BC11" s="202">
        <v>1421</v>
      </c>
      <c r="BD11" s="202">
        <v>1443</v>
      </c>
      <c r="BE11" s="202">
        <v>1464</v>
      </c>
      <c r="BF11" s="202">
        <v>1485</v>
      </c>
      <c r="BG11" s="202">
        <v>1507</v>
      </c>
      <c r="BH11" s="202">
        <v>1529</v>
      </c>
      <c r="BI11" s="202">
        <v>1551</v>
      </c>
      <c r="BJ11" s="202">
        <v>1573</v>
      </c>
      <c r="BK11" s="202">
        <v>1595</v>
      </c>
    </row>
    <row r="12" spans="2:63" ht="17.25" customHeight="1">
      <c r="B12" s="96">
        <f>Data!B15</f>
        <v>36100</v>
      </c>
      <c r="C12" s="96">
        <f>Data!C15</f>
        <v>41152</v>
      </c>
      <c r="D12" s="97">
        <f>V12</f>
        <v>15</v>
      </c>
      <c r="E12" s="97">
        <f>S12</f>
        <v>2</v>
      </c>
      <c r="F12" s="91">
        <f>Data!D15</f>
        <v>30</v>
      </c>
      <c r="G12" s="191" t="str">
        <f>IF(S12=1,"D",IF(S12=2,"C",IF(S12=4,"B",IF(S12=8,"A"))))</f>
        <v>C</v>
      </c>
      <c r="H12" s="97">
        <f>ROUND((C12-B12)*12/365,0)</f>
        <v>166</v>
      </c>
      <c r="I12" s="395">
        <f>W12*E12*H12</f>
        <v>1494</v>
      </c>
      <c r="J12" s="163">
        <f>X12*E12*H12</f>
        <v>3486</v>
      </c>
      <c r="L12" s="98">
        <v>30987</v>
      </c>
      <c r="M12" s="98">
        <v>34638</v>
      </c>
      <c r="N12" s="85" t="str">
        <f>DAY(B12)&amp;"-"&amp;MONTH(B12)&amp;"-"&amp;YEAR(B12)</f>
        <v>1-11-1998</v>
      </c>
      <c r="O12" s="85">
        <f>IF(B12&gt;=M12,F12/15,F12/10)</f>
        <v>2</v>
      </c>
      <c r="P12" s="85" t="str">
        <f>DAY(C12)&amp;"-"&amp;MONTH(C12)&amp;"-"&amp;YEAR(C12)</f>
        <v>31-8-2012</v>
      </c>
      <c r="R12" s="99">
        <f>IF(S12=0,"---",YEAR(B12))</f>
        <v>1998</v>
      </c>
      <c r="S12" s="97">
        <f>IF(B12&gt;=M12,F12/15,F12/10)</f>
        <v>2</v>
      </c>
      <c r="T12" s="97" t="str">
        <f>IF(S12=2,"C",IF(S12=4,"B",IF(S12=8,"A",IF(S12=1,"D"," "))))</f>
        <v>C</v>
      </c>
      <c r="U12" s="85" t="str">
        <f>DAY(M12)&amp;"-"&amp;MONTH(M12)&amp;"-"&amp;YEAR(M12)</f>
        <v>31-10-1994</v>
      </c>
      <c r="V12" s="95">
        <f>IF(B12&gt;=M12,15,10)</f>
        <v>15</v>
      </c>
      <c r="W12" s="95">
        <f>IF(V12=10,3.125,4.5)</f>
        <v>4.5</v>
      </c>
      <c r="X12" s="95">
        <f>IF(V12=10,6.875,10.5)</f>
        <v>10.5</v>
      </c>
      <c r="Y12" s="95">
        <f>ROUND((C12-B12)*12/365,0)</f>
        <v>166</v>
      </c>
      <c r="Z12" s="95">
        <f>W12*Y12*S12</f>
        <v>1494</v>
      </c>
      <c r="AA12" s="95">
        <f>X12*Y12*S12</f>
        <v>3486</v>
      </c>
      <c r="AB12" s="85">
        <f>IF($E$19=AI7,VLOOKUP($P$19,AK88:AW107,$O$19),0)</f>
        <v>0</v>
      </c>
      <c r="AC12" s="85">
        <f>IF($E$20=AI7,VLOOKUP($P$20,AK88:AW107,$O$20),0)</f>
        <v>0</v>
      </c>
      <c r="AD12" s="85">
        <f>IF(YEAR(B19)=1998,VLOOKUP(P19,AY88:BK103,O19),0)</f>
        <v>0</v>
      </c>
      <c r="AE12" s="101">
        <f>IF(YEAR(B20)=1998,VLOOKUP(P20,AY88:BK103,O20),0)</f>
        <v>0</v>
      </c>
      <c r="AF12" s="85">
        <f>IF(YEAR(B21)=1998,VLOOKUP(P21,AY88:BK103,O21),0)</f>
        <v>3266</v>
      </c>
      <c r="AG12" s="85">
        <f>IF(YEAR(B22)=1998,VLOOKUP(P22,AY88:BK103,O22),0)</f>
        <v>0</v>
      </c>
      <c r="AH12" s="105">
        <v>10</v>
      </c>
      <c r="AI12" s="106">
        <v>1388</v>
      </c>
      <c r="AJ12" s="88"/>
      <c r="AK12" s="196" t="s">
        <v>137</v>
      </c>
      <c r="AL12" s="197">
        <v>126</v>
      </c>
      <c r="AM12" s="197">
        <v>127</v>
      </c>
      <c r="AN12" s="197">
        <v>129</v>
      </c>
      <c r="AO12" s="197">
        <v>131</v>
      </c>
      <c r="AP12" s="197">
        <v>132</v>
      </c>
      <c r="AQ12" s="197">
        <v>134</v>
      </c>
      <c r="AR12" s="197">
        <v>135</v>
      </c>
      <c r="AS12" s="197">
        <v>137</v>
      </c>
      <c r="AT12" s="197">
        <v>139</v>
      </c>
      <c r="AU12" s="197">
        <v>140</v>
      </c>
      <c r="AV12" s="197">
        <v>142</v>
      </c>
      <c r="AW12" s="197">
        <v>144</v>
      </c>
      <c r="AY12" s="196" t="s">
        <v>137</v>
      </c>
      <c r="AZ12" s="202">
        <v>1617</v>
      </c>
      <c r="BA12" s="202">
        <v>1640</v>
      </c>
      <c r="BB12" s="202">
        <v>1662</v>
      </c>
      <c r="BC12" s="202">
        <v>1685</v>
      </c>
      <c r="BD12" s="202">
        <v>1708</v>
      </c>
      <c r="BE12" s="202">
        <v>1732</v>
      </c>
      <c r="BF12" s="202">
        <v>1755</v>
      </c>
      <c r="BG12" s="202">
        <v>1778</v>
      </c>
      <c r="BH12" s="202">
        <v>1802</v>
      </c>
      <c r="BI12" s="202">
        <v>1826</v>
      </c>
      <c r="BJ12" s="202">
        <v>1850</v>
      </c>
      <c r="BK12" s="202">
        <v>1875</v>
      </c>
    </row>
    <row r="13" spans="2:63" ht="17.25" customHeight="1">
      <c r="B13" s="96">
        <f>Data!B16</f>
        <v>0</v>
      </c>
      <c r="C13" s="96">
        <f>Data!C16</f>
        <v>0</v>
      </c>
      <c r="D13" s="97">
        <f>V13</f>
        <v>10</v>
      </c>
      <c r="E13" s="97">
        <f>S13</f>
        <v>0</v>
      </c>
      <c r="F13" s="91">
        <f>Data!D16</f>
        <v>0</v>
      </c>
      <c r="G13" s="191" t="b">
        <f>IF(S13=1,"D",IF(S13=2,"C",IF(S13=4,"B",IF(S13=8,"A"))))</f>
        <v>0</v>
      </c>
      <c r="H13" s="97">
        <f>ROUND((C13-B13)*12/365,0)</f>
        <v>0</v>
      </c>
      <c r="I13" s="395">
        <f>W13*E13*H13</f>
        <v>0</v>
      </c>
      <c r="J13" s="163">
        <f>X13*E13*H13</f>
        <v>0</v>
      </c>
      <c r="L13" s="98">
        <v>30987</v>
      </c>
      <c r="M13" s="98">
        <v>34638</v>
      </c>
      <c r="N13" s="85" t="str">
        <f>DAY(B13)&amp;"-"&amp;MONTH(B13)&amp;"-"&amp;YEAR(B13)</f>
        <v>0-1-1900</v>
      </c>
      <c r="O13" s="85">
        <f>IF(B13&gt;=M13,F13/15,F13/10)</f>
        <v>0</v>
      </c>
      <c r="P13" s="85" t="str">
        <f>DAY(C13)&amp;"-"&amp;MONTH(C13)&amp;"-"&amp;YEAR(C13)</f>
        <v>0-1-1900</v>
      </c>
      <c r="R13" s="99" t="str">
        <f>IF(S13=0,"---",YEAR(B13))</f>
        <v>---</v>
      </c>
      <c r="S13" s="97">
        <f>IF(B13&gt;=M13,F13/15,F13/10)</f>
        <v>0</v>
      </c>
      <c r="T13" s="97" t="str">
        <f>IF(S13=2,"C",IF(S13=4,"B",IF(S13=8,"A",IF(S13=1,"D"," "))))</f>
        <v> </v>
      </c>
      <c r="V13" s="95">
        <f>IF(B13&gt;=M13,15,10)</f>
        <v>10</v>
      </c>
      <c r="W13" s="95">
        <f>IF(V13=10,3.125,4.5)</f>
        <v>3.125</v>
      </c>
      <c r="X13" s="95">
        <f>IF(V13=10,6.875,10.5)</f>
        <v>6.875</v>
      </c>
      <c r="Y13" s="95">
        <f>ROUND((C13-B13)*12/365,0)</f>
        <v>0</v>
      </c>
      <c r="Z13" s="95">
        <f>W13*Y13*S13</f>
        <v>0</v>
      </c>
      <c r="AA13" s="95">
        <f>X13*Y13*S13</f>
        <v>0</v>
      </c>
      <c r="AB13" s="85">
        <f>IF($E$19=AI8,VLOOKUP($P$19,AK109:AW128,$O$19),0)</f>
        <v>0</v>
      </c>
      <c r="AC13" s="85">
        <f>IF($E$20=AI8,VLOOKUP($P$20,AK109:AW128,$O$20),0)</f>
        <v>0</v>
      </c>
      <c r="AD13" s="85">
        <f>IF(YEAR(B19)=1999,VLOOKUP(P19,AY109:BK123,O19),0)</f>
        <v>0</v>
      </c>
      <c r="AE13" s="85">
        <f>IF(YEAR(B20)=1999,VLOOKUP(P20,AY109:BK123,O20),0)</f>
        <v>0</v>
      </c>
      <c r="AF13" s="85">
        <f>IF(YEAR(B21)=1999,VLOOKUP(P21,AY109:BK123,O21),0)</f>
        <v>0</v>
      </c>
      <c r="AG13" s="85">
        <f>IF(YEAR(B22)=1999,VLOOKUP(P22,AY109:BK123,O22),0)</f>
        <v>0</v>
      </c>
      <c r="AK13" s="196" t="s">
        <v>138</v>
      </c>
      <c r="AL13" s="197">
        <v>145</v>
      </c>
      <c r="AM13" s="197">
        <v>147</v>
      </c>
      <c r="AN13" s="197">
        <v>149</v>
      </c>
      <c r="AO13" s="197">
        <v>151</v>
      </c>
      <c r="AP13" s="197">
        <v>152</v>
      </c>
      <c r="AQ13" s="197">
        <v>154</v>
      </c>
      <c r="AR13" s="197">
        <v>156</v>
      </c>
      <c r="AS13" s="197">
        <v>158</v>
      </c>
      <c r="AT13" s="197">
        <v>160</v>
      </c>
      <c r="AU13" s="197">
        <v>161</v>
      </c>
      <c r="AV13" s="197">
        <v>163</v>
      </c>
      <c r="AW13" s="197">
        <v>165</v>
      </c>
      <c r="AY13" s="196" t="s">
        <v>138</v>
      </c>
      <c r="AZ13" s="202">
        <v>1899</v>
      </c>
      <c r="BA13" s="202">
        <v>1924</v>
      </c>
      <c r="BB13" s="202">
        <v>1948</v>
      </c>
      <c r="BC13" s="202">
        <v>1974</v>
      </c>
      <c r="BD13" s="202">
        <v>1999</v>
      </c>
      <c r="BE13" s="202">
        <v>2024</v>
      </c>
      <c r="BF13" s="202">
        <v>2050</v>
      </c>
      <c r="BG13" s="202">
        <v>2075</v>
      </c>
      <c r="BH13" s="202">
        <v>2101</v>
      </c>
      <c r="BI13" s="202">
        <v>2128</v>
      </c>
      <c r="BJ13" s="202">
        <v>2154</v>
      </c>
      <c r="BK13" s="202">
        <v>2180</v>
      </c>
    </row>
    <row r="14" spans="2:63" ht="16.5" customHeight="1">
      <c r="B14" s="437" t="s">
        <v>9</v>
      </c>
      <c r="C14" s="437"/>
      <c r="D14" s="437"/>
      <c r="E14" s="437"/>
      <c r="F14" s="437"/>
      <c r="G14" s="437"/>
      <c r="H14" s="437"/>
      <c r="I14" s="396">
        <f>SUM(I10:I13)</f>
        <v>2085</v>
      </c>
      <c r="J14" s="164">
        <f>SUM(J10:J13)</f>
        <v>4815</v>
      </c>
      <c r="R14" s="85" t="s">
        <v>297</v>
      </c>
      <c r="S14" s="102">
        <f>MAX(S10:S13)</f>
        <v>2</v>
      </c>
      <c r="T14" s="102" t="str">
        <f>LOOKUP(S14,S10:S13,T10:T13)</f>
        <v>C</v>
      </c>
      <c r="Z14" s="95">
        <f>SUM(Z10:Z13)</f>
        <v>2085</v>
      </c>
      <c r="AA14" s="95">
        <f>SUM(AA10:AA13)</f>
        <v>4815</v>
      </c>
      <c r="AB14" s="85">
        <f>IF($E$19=AI9,VLOOKUP($P$19,AK130:AW149,$O$19),0)</f>
        <v>0</v>
      </c>
      <c r="AC14" s="85">
        <f>IF($E$20=AI9,VLOOKUP($P$20,AK130:AW149,$O$20),0)</f>
        <v>0</v>
      </c>
      <c r="AD14" s="85">
        <f>IF(YEAR(B19)=2000,VLOOKUP(P19,AY130:BK143,O19),0)</f>
        <v>0</v>
      </c>
      <c r="AE14" s="85">
        <f>IF(YEAR(B20)=2000,VLOOKUP(P20,AY130:BK143,O20),0)</f>
        <v>0</v>
      </c>
      <c r="AF14" s="85">
        <f>IF(YEAR(B21)=2000,VLOOKUP(P21,AY130:BK143,O21),0)</f>
        <v>0</v>
      </c>
      <c r="AG14" s="85">
        <f>IF(YEAR(B22)=2000,VLOOKUP(P22,AY130:BK143,O22),0)</f>
        <v>0</v>
      </c>
      <c r="AK14" s="196" t="s">
        <v>139</v>
      </c>
      <c r="AL14" s="197">
        <v>167</v>
      </c>
      <c r="AM14" s="197">
        <v>169</v>
      </c>
      <c r="AN14" s="197">
        <v>170</v>
      </c>
      <c r="AO14" s="197">
        <v>172</v>
      </c>
      <c r="AP14" s="197">
        <v>174</v>
      </c>
      <c r="AQ14" s="197">
        <v>175</v>
      </c>
      <c r="AR14" s="197">
        <v>177</v>
      </c>
      <c r="AS14" s="197">
        <v>179</v>
      </c>
      <c r="AT14" s="197">
        <v>181</v>
      </c>
      <c r="AU14" s="197">
        <v>182</v>
      </c>
      <c r="AV14" s="197">
        <v>184</v>
      </c>
      <c r="AW14" s="197">
        <v>186</v>
      </c>
      <c r="AY14" s="196" t="s">
        <v>139</v>
      </c>
      <c r="AZ14" s="202">
        <v>2205</v>
      </c>
      <c r="BA14" s="202">
        <v>2231</v>
      </c>
      <c r="BB14" s="202">
        <v>2256</v>
      </c>
      <c r="BC14" s="202">
        <v>2281</v>
      </c>
      <c r="BD14" s="202">
        <v>2307</v>
      </c>
      <c r="BE14" s="202">
        <v>2333</v>
      </c>
      <c r="BF14" s="202">
        <v>2359</v>
      </c>
      <c r="BG14" s="202">
        <v>2385</v>
      </c>
      <c r="BH14" s="202">
        <v>2411</v>
      </c>
      <c r="BI14" s="202">
        <v>2437</v>
      </c>
      <c r="BJ14" s="202">
        <v>2464</v>
      </c>
      <c r="BK14" s="202">
        <v>2491</v>
      </c>
    </row>
    <row r="15" spans="2:63" ht="17.25" customHeight="1">
      <c r="B15" s="94" t="s">
        <v>289</v>
      </c>
      <c r="S15" s="102">
        <f>LARGE(S10:S13,2)</f>
        <v>1</v>
      </c>
      <c r="T15" s="99" t="str">
        <f>LOOKUP(S15,S10:S13,T10:T13)</f>
        <v>D</v>
      </c>
      <c r="AB15" s="85">
        <f>IF($E$19=AI10,VLOOKUP($P$19,AK151:AW170,$O$19),0)</f>
        <v>0</v>
      </c>
      <c r="AC15" s="85">
        <f>IF($E$20=AI10,VLOOKUP($P$20,AK151:AW170,$O$20),0)</f>
        <v>0</v>
      </c>
      <c r="AD15" s="85">
        <f>IF(YEAR(B19)=2001,VLOOKUP(P19,AY151:BK163,O19),0)</f>
        <v>0</v>
      </c>
      <c r="AE15" s="85">
        <f>IF(YEAR(B20)=2001,VLOOKUP(P20,AY151:BK163,O20),0)</f>
        <v>0</v>
      </c>
      <c r="AF15" s="85">
        <f>IF(YEAR(B21)=2001,VLOOKUP(P21,AY151:BK163,O21),0)</f>
        <v>0</v>
      </c>
      <c r="AG15" s="85">
        <f>IF(YEAR(B22)=2001,VLOOKUP(P22,AY151:BK163,O22),0)</f>
        <v>0</v>
      </c>
      <c r="AH15" s="99">
        <v>0</v>
      </c>
      <c r="AI15" s="85">
        <v>10</v>
      </c>
      <c r="AJ15" s="85">
        <f>AI15*1000</f>
        <v>10000</v>
      </c>
      <c r="AK15" s="196" t="s">
        <v>140</v>
      </c>
      <c r="AL15" s="197">
        <v>188</v>
      </c>
      <c r="AM15" s="197">
        <v>189</v>
      </c>
      <c r="AN15" s="197">
        <v>191</v>
      </c>
      <c r="AO15" s="197">
        <v>193</v>
      </c>
      <c r="AP15" s="197">
        <v>195</v>
      </c>
      <c r="AQ15" s="197">
        <v>197</v>
      </c>
      <c r="AR15" s="197">
        <v>199</v>
      </c>
      <c r="AS15" s="197">
        <v>201</v>
      </c>
      <c r="AT15" s="197">
        <v>203</v>
      </c>
      <c r="AU15" s="197">
        <v>204</v>
      </c>
      <c r="AV15" s="197">
        <v>206</v>
      </c>
      <c r="AW15" s="197">
        <v>208</v>
      </c>
      <c r="AY15" s="196" t="s">
        <v>140</v>
      </c>
      <c r="AZ15" s="202">
        <v>2519</v>
      </c>
      <c r="BA15" s="202">
        <v>2546</v>
      </c>
      <c r="BB15" s="202">
        <v>2574</v>
      </c>
      <c r="BC15" s="202">
        <v>2601</v>
      </c>
      <c r="BD15" s="202">
        <v>2629</v>
      </c>
      <c r="BE15" s="202">
        <v>2657</v>
      </c>
      <c r="BF15" s="202">
        <v>2685</v>
      </c>
      <c r="BG15" s="202">
        <v>2714</v>
      </c>
      <c r="BH15" s="202">
        <v>2742</v>
      </c>
      <c r="BI15" s="202">
        <v>2771</v>
      </c>
      <c r="BJ15" s="202">
        <v>2800</v>
      </c>
      <c r="BK15" s="202">
        <v>2829</v>
      </c>
    </row>
    <row r="16" spans="28:63" ht="19.5" customHeight="1">
      <c r="AB16" s="85">
        <f>IF($E$19=AI11,VLOOKUP($P$19,AK172:AW191,$O$19),0)</f>
        <v>0</v>
      </c>
      <c r="AC16" s="85">
        <f>IF($E$20=AI11,VLOOKUP($P$20,AK172:AW191,$O$20),0)</f>
        <v>0</v>
      </c>
      <c r="AD16" s="85">
        <f>IF(YEAR(B19)=2002,VLOOKUP(P19,AY172:BK183,O19),0)</f>
        <v>0</v>
      </c>
      <c r="AE16" s="85">
        <f>IF(YEAR(B20)=2002,VLOOKUP(P20,AY172:BK183,O20),0)</f>
        <v>0</v>
      </c>
      <c r="AF16" s="85">
        <f>IF(YEAR(B21)=2002,VLOOKUP(P21,AY172:BK183,O21),0)</f>
        <v>0</v>
      </c>
      <c r="AG16" s="85">
        <f>IF(YEAR(B22)=2002,VLOOKUP(P22,AY172:BK183,O22),0)</f>
        <v>0</v>
      </c>
      <c r="AH16" s="99">
        <v>1</v>
      </c>
      <c r="AI16" s="85">
        <v>15</v>
      </c>
      <c r="AJ16" s="85">
        <f>AI16*1000</f>
        <v>15000</v>
      </c>
      <c r="AK16" s="196" t="s">
        <v>141</v>
      </c>
      <c r="AL16" s="197">
        <v>210</v>
      </c>
      <c r="AM16" s="197">
        <v>212</v>
      </c>
      <c r="AN16" s="197">
        <v>214</v>
      </c>
      <c r="AO16" s="197">
        <v>216</v>
      </c>
      <c r="AP16" s="197">
        <v>218</v>
      </c>
      <c r="AQ16" s="197">
        <v>220</v>
      </c>
      <c r="AR16" s="197">
        <v>222</v>
      </c>
      <c r="AS16" s="197">
        <v>224</v>
      </c>
      <c r="AT16" s="197">
        <v>226</v>
      </c>
      <c r="AU16" s="197">
        <v>228</v>
      </c>
      <c r="AV16" s="197">
        <v>230</v>
      </c>
      <c r="AW16" s="197">
        <v>233</v>
      </c>
      <c r="AX16" s="169"/>
      <c r="AY16" s="196" t="s">
        <v>141</v>
      </c>
      <c r="AZ16" s="202">
        <v>2858</v>
      </c>
      <c r="BA16" s="202">
        <v>2888</v>
      </c>
      <c r="BB16" s="202">
        <v>2918</v>
      </c>
      <c r="BC16" s="202">
        <v>2948</v>
      </c>
      <c r="BD16" s="202">
        <v>2978</v>
      </c>
      <c r="BE16" s="202">
        <v>3008</v>
      </c>
      <c r="BF16" s="202">
        <v>3039</v>
      </c>
      <c r="BG16" s="202">
        <v>3069</v>
      </c>
      <c r="BH16" s="202">
        <v>3100</v>
      </c>
      <c r="BI16" s="202">
        <v>3131</v>
      </c>
      <c r="BJ16" s="202">
        <v>3163</v>
      </c>
      <c r="BK16" s="202">
        <v>3194</v>
      </c>
    </row>
    <row r="17" spans="1:63" s="176" customFormat="1" ht="63.75">
      <c r="A17" s="313"/>
      <c r="B17" s="174" t="s">
        <v>1</v>
      </c>
      <c r="C17" s="174" t="s">
        <v>2</v>
      </c>
      <c r="D17" s="175" t="s">
        <v>240</v>
      </c>
      <c r="E17" s="175" t="s">
        <v>104</v>
      </c>
      <c r="F17" s="175" t="str">
        <f>"Interest upto "&amp;Data!I39&amp;" on the amount in the col.4"</f>
        <v>Interest upto 31-8-2012 on the amount in the col.4</v>
      </c>
      <c r="G17" s="175" t="str">
        <f>"ACS + Interest on contribution @Rs.15/- upto "&amp;Data!I39</f>
        <v>ACS + Interest on contribution @Rs.15/- upto 31-8-2012</v>
      </c>
      <c r="H17" s="175" t="str">
        <f>"Total ACS + Interest  upto "&amp;Data!I39&amp;" per unit"</f>
        <v>Total ACS + Interest  upto 31-8-2012 per unit</v>
      </c>
      <c r="I17" s="175" t="s">
        <v>105</v>
      </c>
      <c r="J17" s="174" t="s">
        <v>9</v>
      </c>
      <c r="K17" s="272"/>
      <c r="N17" s="176" t="s">
        <v>155</v>
      </c>
      <c r="S17" s="177" t="s">
        <v>109</v>
      </c>
      <c r="T17" s="176">
        <v>10.5</v>
      </c>
      <c r="U17" s="176" t="s">
        <v>110</v>
      </c>
      <c r="V17" s="178" t="s">
        <v>111</v>
      </c>
      <c r="W17" s="176" t="s">
        <v>112</v>
      </c>
      <c r="X17" s="169">
        <f>(U20*$T$17)</f>
        <v>126</v>
      </c>
      <c r="AB17" s="169">
        <f>IF($E$19=AI12,VLOOKUP($P$19,AK193:AW212,$O$19),0)</f>
        <v>6191</v>
      </c>
      <c r="AC17" s="169">
        <f>IF($E$20=AI12,VLOOKUP($P$20,AK193:AW212,$O$19),0)</f>
        <v>0</v>
      </c>
      <c r="AD17" s="169">
        <f>IF(YEAR(B19)=2003,VLOOKUP(P19,AY193:BK203,O19),0)</f>
        <v>0</v>
      </c>
      <c r="AE17" s="169">
        <f>IF(YEAR(B20)=2003,VLOOKUP(P20,AY193:BK203,O20),0)</f>
        <v>0</v>
      </c>
      <c r="AF17" s="179">
        <f>IF(YEAR(B21)=2003,VLOOKUP(P21,AY193:BK203,O21),0)</f>
        <v>0</v>
      </c>
      <c r="AG17" s="179">
        <f>IF(YEAR(B22)=2003,VLOOKUP(P22,AY193:BK203,O22),0)</f>
        <v>0</v>
      </c>
      <c r="AH17" s="176">
        <v>2</v>
      </c>
      <c r="AI17" s="169">
        <v>30</v>
      </c>
      <c r="AJ17" s="85">
        <f>AI17*1000</f>
        <v>30000</v>
      </c>
      <c r="AK17" s="196" t="s">
        <v>142</v>
      </c>
      <c r="AL17" s="197">
        <v>235</v>
      </c>
      <c r="AM17" s="197">
        <v>237</v>
      </c>
      <c r="AN17" s="197">
        <v>239</v>
      </c>
      <c r="AO17" s="197">
        <v>241</v>
      </c>
      <c r="AP17" s="197">
        <v>243</v>
      </c>
      <c r="AQ17" s="197">
        <v>245</v>
      </c>
      <c r="AR17" s="197">
        <v>248</v>
      </c>
      <c r="AS17" s="197">
        <v>250</v>
      </c>
      <c r="AT17" s="197">
        <v>252</v>
      </c>
      <c r="AU17" s="197">
        <v>254</v>
      </c>
      <c r="AV17" s="197">
        <v>257</v>
      </c>
      <c r="AW17" s="197">
        <v>259</v>
      </c>
      <c r="AX17" s="85"/>
      <c r="AY17" s="196" t="s">
        <v>142</v>
      </c>
      <c r="AZ17" s="202">
        <v>3226</v>
      </c>
      <c r="BA17" s="202">
        <v>3258</v>
      </c>
      <c r="BB17" s="202">
        <v>3290</v>
      </c>
      <c r="BC17" s="202">
        <v>3323</v>
      </c>
      <c r="BD17" s="202">
        <v>3355</v>
      </c>
      <c r="BE17" s="202">
        <v>3388</v>
      </c>
      <c r="BF17" s="202">
        <v>3421</v>
      </c>
      <c r="BG17" s="202">
        <v>3454</v>
      </c>
      <c r="BH17" s="202">
        <v>3488</v>
      </c>
      <c r="BI17" s="202">
        <v>3522</v>
      </c>
      <c r="BJ17" s="202">
        <v>3555</v>
      </c>
      <c r="BK17" s="202">
        <v>3590</v>
      </c>
    </row>
    <row r="18" spans="2:63" ht="15" customHeight="1">
      <c r="B18" s="107">
        <v>1</v>
      </c>
      <c r="C18" s="107">
        <v>2</v>
      </c>
      <c r="D18" s="108">
        <v>3</v>
      </c>
      <c r="E18" s="108">
        <v>4</v>
      </c>
      <c r="F18" s="108">
        <v>5</v>
      </c>
      <c r="G18" s="108">
        <v>6</v>
      </c>
      <c r="H18" s="108">
        <v>7</v>
      </c>
      <c r="I18" s="108">
        <v>8</v>
      </c>
      <c r="J18" s="107">
        <v>9</v>
      </c>
      <c r="L18" s="88"/>
      <c r="M18" s="88"/>
      <c r="N18" s="88"/>
      <c r="O18" s="88"/>
      <c r="P18" s="88"/>
      <c r="Q18" s="88"/>
      <c r="R18" s="88"/>
      <c r="S18" s="103"/>
      <c r="T18" s="88"/>
      <c r="U18" s="88"/>
      <c r="V18" s="104"/>
      <c r="W18" s="88"/>
      <c r="Y18" s="88"/>
      <c r="Z18" s="88"/>
      <c r="AA18" s="88"/>
      <c r="AD18" s="85">
        <f>IF(YEAR(B19)=2004,VLOOKUP(P19,AY205:BK214,O19),0)</f>
        <v>0</v>
      </c>
      <c r="AE18" s="85">
        <f>IF(YEAR(B20)=2004,VLOOKUP(P20,AY205:BK214,O20),0)</f>
        <v>0</v>
      </c>
      <c r="AF18" s="85">
        <f>IF(YEAR(B21)=2004,VLOOKUP(P21,AY205:BK214,O21),0)</f>
        <v>0</v>
      </c>
      <c r="AG18" s="85">
        <f>IF(YEAR(B22)=2004,VLOOKUP(P22,AY205:BK214,O22),0)</f>
        <v>0</v>
      </c>
      <c r="AH18" s="99">
        <v>4</v>
      </c>
      <c r="AI18" s="101">
        <v>60</v>
      </c>
      <c r="AJ18" s="85">
        <f>AI18*1000</f>
        <v>60000</v>
      </c>
      <c r="AK18" s="196" t="s">
        <v>143</v>
      </c>
      <c r="AL18" s="197">
        <v>261</v>
      </c>
      <c r="AM18" s="197">
        <v>263</v>
      </c>
      <c r="AN18" s="197">
        <v>266</v>
      </c>
      <c r="AO18" s="197">
        <v>268</v>
      </c>
      <c r="AP18" s="197">
        <v>270</v>
      </c>
      <c r="AQ18" s="197">
        <v>273</v>
      </c>
      <c r="AR18" s="197">
        <v>275</v>
      </c>
      <c r="AS18" s="197">
        <v>278</v>
      </c>
      <c r="AT18" s="197">
        <v>280</v>
      </c>
      <c r="AU18" s="197">
        <v>282</v>
      </c>
      <c r="AV18" s="197">
        <v>285</v>
      </c>
      <c r="AW18" s="197">
        <v>287</v>
      </c>
      <c r="AY18" s="196" t="s">
        <v>143</v>
      </c>
      <c r="AZ18" s="202">
        <v>3624</v>
      </c>
      <c r="BA18" s="202">
        <v>3659</v>
      </c>
      <c r="BB18" s="202">
        <v>3694</v>
      </c>
      <c r="BC18" s="202">
        <v>3729</v>
      </c>
      <c r="BD18" s="202">
        <v>3764</v>
      </c>
      <c r="BE18" s="202">
        <v>3800</v>
      </c>
      <c r="BF18" s="202">
        <v>3835</v>
      </c>
      <c r="BG18" s="202">
        <v>3871</v>
      </c>
      <c r="BH18" s="202">
        <v>3908</v>
      </c>
      <c r="BI18" s="202">
        <v>3944</v>
      </c>
      <c r="BJ18" s="202">
        <v>3981</v>
      </c>
      <c r="BK18" s="202">
        <v>4018</v>
      </c>
    </row>
    <row r="19" spans="2:63" ht="18" customHeight="1">
      <c r="B19" s="96">
        <f>B10</f>
        <v>30987</v>
      </c>
      <c r="C19" s="96">
        <f>IF(C10&gt;M10,Data!D10,M10)</f>
        <v>34638</v>
      </c>
      <c r="D19" s="97" t="str">
        <f>IF(B10&gt;=M10,"15/-","10/-")</f>
        <v>10/-</v>
      </c>
      <c r="E19" s="109">
        <f>IF(B19&lt;L19,0,IF(B19&gt;M19,0,LOOKUP(Q19,Data!$F$35:$F$44,Data!$G$35:$G$44)))</f>
        <v>1388</v>
      </c>
      <c r="F19" s="109">
        <f>IF(E19&gt;0,AB30,0)</f>
        <v>6191</v>
      </c>
      <c r="G19" s="109">
        <f>IF(B19&gt;M19,AD30,0)</f>
        <v>0</v>
      </c>
      <c r="H19" s="109">
        <f>SUM(E19:G19)</f>
        <v>7579</v>
      </c>
      <c r="I19" s="97">
        <f>O10</f>
        <v>1</v>
      </c>
      <c r="J19" s="109">
        <f>H19*I19</f>
        <v>7579</v>
      </c>
      <c r="L19" s="98">
        <v>30987</v>
      </c>
      <c r="M19" s="98">
        <v>34638</v>
      </c>
      <c r="N19" s="85">
        <f>Data!J39</f>
        <v>8</v>
      </c>
      <c r="O19" s="85">
        <f>IF(N19&lt;11,N19+3,N19-9)</f>
        <v>11</v>
      </c>
      <c r="P19" s="85" t="str">
        <f>Data!K39</f>
        <v>2011-2012</v>
      </c>
      <c r="Q19" s="85">
        <f>ROUND((C19-B19)/30/12,0)</f>
        <v>10</v>
      </c>
      <c r="S19" s="98">
        <v>30987</v>
      </c>
      <c r="T19" s="98">
        <f>DATE(YEAR(S19)+1,10,31)</f>
        <v>31351</v>
      </c>
      <c r="U19" s="85">
        <f>ROUND((T19-S19)/30,0)</f>
        <v>12</v>
      </c>
      <c r="V19" s="85">
        <f>LOOKUP(S19,$Q$34:$Q$55,$R$34:$R$55)</f>
        <v>12</v>
      </c>
      <c r="X19" s="85">
        <f>ROUND((U19*$T$17)+$T$17*V19*U19*(U19+1)/2/12/100,0)</f>
        <v>134</v>
      </c>
      <c r="AA19" s="85">
        <f>IF(B12&gt;M12,LOOKUP(B12,$Q$35:$Q$55,$R$35:$R$55),0)</f>
        <v>12</v>
      </c>
      <c r="AD19" s="85">
        <f>IF(YEAR(B19)=2005,VLOOKUP(P19,AY216:BK224,O19),0)</f>
        <v>0</v>
      </c>
      <c r="AE19" s="85">
        <f>IF(YEAR(B20)=2005,VLOOKUP(P20,AY216:BK224,O20),0)</f>
        <v>0</v>
      </c>
      <c r="AF19" s="85">
        <f>IF(YEAR(B21)=2005,VLOOKUP(P21,AY216:BK224,O21),0)</f>
        <v>0</v>
      </c>
      <c r="AG19" s="85">
        <f>IF(YEAR(B22)=2005,VLOOKUP(P22,AY216:BK224,O22),0)</f>
        <v>0</v>
      </c>
      <c r="AH19" s="99">
        <v>8</v>
      </c>
      <c r="AI19" s="85">
        <v>120</v>
      </c>
      <c r="AJ19" s="85">
        <f>AI19*1000</f>
        <v>120000</v>
      </c>
      <c r="AK19" s="196" t="s">
        <v>144</v>
      </c>
      <c r="AL19" s="197">
        <v>290</v>
      </c>
      <c r="AM19" s="197">
        <v>292</v>
      </c>
      <c r="AN19" s="197">
        <v>295</v>
      </c>
      <c r="AO19" s="197">
        <v>297</v>
      </c>
      <c r="AP19" s="197">
        <v>300</v>
      </c>
      <c r="AQ19" s="197">
        <v>302</v>
      </c>
      <c r="AR19" s="197">
        <v>305</v>
      </c>
      <c r="AS19" s="197">
        <v>307</v>
      </c>
      <c r="AT19" s="197">
        <v>310</v>
      </c>
      <c r="AU19" s="197">
        <v>313</v>
      </c>
      <c r="AV19" s="197">
        <v>315</v>
      </c>
      <c r="AW19" s="197">
        <v>318</v>
      </c>
      <c r="AY19" s="196" t="s">
        <v>144</v>
      </c>
      <c r="AZ19" s="202">
        <v>4055</v>
      </c>
      <c r="BA19" s="202">
        <v>4092</v>
      </c>
      <c r="BB19" s="202">
        <v>4130</v>
      </c>
      <c r="BC19" s="202">
        <v>4168</v>
      </c>
      <c r="BD19" s="202">
        <v>4206</v>
      </c>
      <c r="BE19" s="202">
        <v>4245</v>
      </c>
      <c r="BF19" s="202">
        <v>4284</v>
      </c>
      <c r="BG19" s="202">
        <v>4323</v>
      </c>
      <c r="BH19" s="202">
        <v>4362</v>
      </c>
      <c r="BI19" s="202">
        <v>4402</v>
      </c>
      <c r="BJ19" s="202">
        <v>4441</v>
      </c>
      <c r="BK19" s="202">
        <v>4482</v>
      </c>
    </row>
    <row r="20" spans="2:63" ht="18" customHeight="1">
      <c r="B20" s="96">
        <f>B11</f>
        <v>34639</v>
      </c>
      <c r="C20" s="96">
        <f>IF(C11&gt;M11,Data!D10,M11)</f>
        <v>41152</v>
      </c>
      <c r="D20" s="97" t="str">
        <f>IF(B11&gt;=M11,"15/-","10/-")</f>
        <v>15/-</v>
      </c>
      <c r="E20" s="109">
        <f>IF(B20&lt;L20,0,IF(B20&gt;M20,0,LOOKUP(Q20,Data!$F$35:$F$44,Data!$G$35:$G$44)))</f>
        <v>0</v>
      </c>
      <c r="F20" s="109">
        <f>IF(E20&gt;0,AC30,0)</f>
        <v>0</v>
      </c>
      <c r="G20" s="109">
        <f>IF(B20&gt;M20,AE30,0)</f>
        <v>5457</v>
      </c>
      <c r="H20" s="109">
        <f>SUM(E20:G20)</f>
        <v>5457</v>
      </c>
      <c r="I20" s="97">
        <f>IF(B11&gt;M11,O11,O11-O10)</f>
        <v>1</v>
      </c>
      <c r="J20" s="109">
        <f>H20*I20</f>
        <v>5457</v>
      </c>
      <c r="L20" s="98">
        <v>30987</v>
      </c>
      <c r="M20" s="98">
        <v>34638</v>
      </c>
      <c r="N20" s="85">
        <f>Data!J39</f>
        <v>8</v>
      </c>
      <c r="O20" s="85">
        <f>IF(N20&lt;11,N20+3,N20-9)</f>
        <v>11</v>
      </c>
      <c r="P20" s="85" t="str">
        <f>Data!K39</f>
        <v>2011-2012</v>
      </c>
      <c r="Q20" s="85">
        <f>ROUND((C20-B20)/30/12,0)</f>
        <v>18</v>
      </c>
      <c r="S20" s="98">
        <f>T19+1</f>
        <v>31352</v>
      </c>
      <c r="T20" s="98">
        <f>DATE(YEAR(S20)+1,10,31)</f>
        <v>31716</v>
      </c>
      <c r="U20" s="85">
        <f>ROUND((T20-S20)/30,0)</f>
        <v>12</v>
      </c>
      <c r="V20" s="85">
        <f aca="true" t="shared" si="0" ref="V20:V28">LOOKUP(S20,$Q$34:$Q$55,$R$34:$R$55)</f>
        <v>12</v>
      </c>
      <c r="W20" s="85">
        <f>X17+X20+Y20+X19</f>
        <v>284</v>
      </c>
      <c r="X20" s="85">
        <f>ROUND($T$17*V20*U20*(U20+1)/2/12/100,0)</f>
        <v>8</v>
      </c>
      <c r="Y20" s="85">
        <f>ROUND(X19*U20/100,0)</f>
        <v>16</v>
      </c>
      <c r="AD20" s="85">
        <f>IF(YEAR(B19)=2006,VLOOKUP(P19,AY226:BK233,O19),0)</f>
        <v>0</v>
      </c>
      <c r="AE20" s="85">
        <f>IF(YEAR(B20)=2006,VLOOKUP(P20,AY226:BK233,O20),0)</f>
        <v>0</v>
      </c>
      <c r="AF20" s="85">
        <f>IF(YEAR(B21)=2006,VLOOKUP(P21,AY226:BK233,O21),0)</f>
        <v>0</v>
      </c>
      <c r="AG20" s="85">
        <f>IF(YEAR(B22)=2006,VLOOKUP(P22,AY226:BK233,O22),0)</f>
        <v>0</v>
      </c>
      <c r="AH20" s="393" t="s">
        <v>292</v>
      </c>
      <c r="AI20" s="391"/>
      <c r="AK20" s="196" t="s">
        <v>145</v>
      </c>
      <c r="AL20" s="197">
        <v>321</v>
      </c>
      <c r="AM20" s="197">
        <v>323</v>
      </c>
      <c r="AN20" s="197">
        <v>326</v>
      </c>
      <c r="AO20" s="197">
        <v>329</v>
      </c>
      <c r="AP20" s="197">
        <v>332</v>
      </c>
      <c r="AQ20" s="197">
        <v>334</v>
      </c>
      <c r="AR20" s="197">
        <v>337</v>
      </c>
      <c r="AS20" s="197">
        <v>340</v>
      </c>
      <c r="AT20" s="197">
        <v>343</v>
      </c>
      <c r="AU20" s="197">
        <v>346</v>
      </c>
      <c r="AV20" s="197">
        <v>348</v>
      </c>
      <c r="AW20" s="197">
        <v>351</v>
      </c>
      <c r="AY20" s="196" t="s">
        <v>145</v>
      </c>
      <c r="AZ20" s="202">
        <v>4522</v>
      </c>
      <c r="BA20" s="202">
        <v>4562</v>
      </c>
      <c r="BB20" s="202">
        <v>4603</v>
      </c>
      <c r="BC20" s="202">
        <v>4644</v>
      </c>
      <c r="BD20" s="202">
        <v>4686</v>
      </c>
      <c r="BE20" s="202">
        <v>4728</v>
      </c>
      <c r="BF20" s="202">
        <v>4769</v>
      </c>
      <c r="BG20" s="202">
        <v>4812</v>
      </c>
      <c r="BH20" s="202">
        <v>4854</v>
      </c>
      <c r="BI20" s="202">
        <v>4897</v>
      </c>
      <c r="BJ20" s="202">
        <v>4940</v>
      </c>
      <c r="BK20" s="202">
        <v>4984</v>
      </c>
    </row>
    <row r="21" spans="2:63" ht="18" customHeight="1">
      <c r="B21" s="96">
        <f>IF(B12&lt;L21,0,B12)</f>
        <v>36100</v>
      </c>
      <c r="C21" s="96">
        <f>IF(C12&gt;M12,Data!D10,M12)</f>
        <v>41152</v>
      </c>
      <c r="D21" s="97" t="str">
        <f>IF(B12&gt;=M12,"15/-","10/-")</f>
        <v>15/-</v>
      </c>
      <c r="E21" s="109">
        <f>IF(B21&lt;L21,0,IF(B21&gt;M21,0,LOOKUP(Q21,Data!$F$35:$F$44,Data!$G$35:$G$44)))</f>
        <v>0</v>
      </c>
      <c r="F21" s="109">
        <v>0</v>
      </c>
      <c r="G21" s="109">
        <f>IF(B21&gt;M21,AF30,0)</f>
        <v>3266</v>
      </c>
      <c r="H21" s="109">
        <f>SUM(E21:G21)</f>
        <v>3266</v>
      </c>
      <c r="I21" s="97">
        <f>IF(B11&gt;M11,O12-O11,O12)</f>
        <v>1</v>
      </c>
      <c r="J21" s="109">
        <f>H21*I21</f>
        <v>3266</v>
      </c>
      <c r="L21" s="98">
        <v>30987</v>
      </c>
      <c r="M21" s="98">
        <v>34638</v>
      </c>
      <c r="N21" s="85">
        <f>Data!J39</f>
        <v>8</v>
      </c>
      <c r="O21" s="85">
        <f>IF(N21&lt;11,N21+3,N21-9)</f>
        <v>11</v>
      </c>
      <c r="P21" s="85" t="str">
        <f>Data!K39</f>
        <v>2011-2012</v>
      </c>
      <c r="Q21" s="85">
        <f>ROUND((C21-B21)/30/12,0)</f>
        <v>14</v>
      </c>
      <c r="R21" s="98">
        <f>T19+1</f>
        <v>31352</v>
      </c>
      <c r="S21" s="98">
        <f aca="true" t="shared" si="1" ref="S21:S34">T20+1</f>
        <v>31717</v>
      </c>
      <c r="T21" s="98">
        <f aca="true" t="shared" si="2" ref="T21:T45">DATE(YEAR(S21)+1,10,31)</f>
        <v>32081</v>
      </c>
      <c r="U21" s="85">
        <f aca="true" t="shared" si="3" ref="U21:U34">ROUND((T21-S21)/30,0)</f>
        <v>12</v>
      </c>
      <c r="V21" s="85">
        <f t="shared" si="0"/>
        <v>12</v>
      </c>
      <c r="X21" s="85">
        <f aca="true" t="shared" si="4" ref="X21:X27">(U21*$T$17)+$T$17*V21*U21*(U21+1)/2/12/100</f>
        <v>134.19</v>
      </c>
      <c r="AD21" s="85">
        <f>IF(YEAR(B19)=2007,VLOOKUP(P19,AY235:BK241,O19),0)</f>
        <v>0</v>
      </c>
      <c r="AE21" s="85">
        <f>IF(YEAR(B20)=2007,VLOOKUP(P20,AY235:BK241,O20),0)</f>
        <v>0</v>
      </c>
      <c r="AF21" s="85">
        <f>IF(YEAR(B21)=2007,VLOOKUP(P21,AY235:BK241,O21),0)</f>
        <v>0</v>
      </c>
      <c r="AG21" s="85">
        <f>IF(YEAR(B22)=2007,VLOOKUP(P22,AY235:BK241,O22),0)</f>
        <v>0</v>
      </c>
      <c r="AH21" s="376">
        <f>IF($B10&gt;=$M10,$F10/15,$F10/10)</f>
        <v>1</v>
      </c>
      <c r="AI21" s="392"/>
      <c r="AK21" s="196" t="s">
        <v>146</v>
      </c>
      <c r="AL21" s="197">
        <v>354</v>
      </c>
      <c r="AM21" s="197">
        <v>357</v>
      </c>
      <c r="AN21" s="197">
        <v>361</v>
      </c>
      <c r="AO21" s="197">
        <v>364</v>
      </c>
      <c r="AP21" s="197">
        <v>367</v>
      </c>
      <c r="AQ21" s="197">
        <v>370</v>
      </c>
      <c r="AR21" s="197">
        <v>373</v>
      </c>
      <c r="AS21" s="197">
        <v>377</v>
      </c>
      <c r="AT21" s="197">
        <v>380</v>
      </c>
      <c r="AU21" s="197">
        <v>383</v>
      </c>
      <c r="AV21" s="197">
        <v>387</v>
      </c>
      <c r="AW21" s="197">
        <v>390</v>
      </c>
      <c r="AY21" s="196" t="s">
        <v>146</v>
      </c>
      <c r="AZ21" s="202">
        <v>5027</v>
      </c>
      <c r="BA21" s="202">
        <v>5073</v>
      </c>
      <c r="BB21" s="202">
        <v>5120</v>
      </c>
      <c r="BC21" s="202">
        <v>5168</v>
      </c>
      <c r="BD21" s="202">
        <v>5215</v>
      </c>
      <c r="BE21" s="202">
        <v>5263</v>
      </c>
      <c r="BF21" s="202">
        <v>5311</v>
      </c>
      <c r="BG21" s="202">
        <v>5359</v>
      </c>
      <c r="BH21" s="202">
        <v>5408</v>
      </c>
      <c r="BI21" s="202">
        <v>5457</v>
      </c>
      <c r="BJ21" s="202">
        <v>5507</v>
      </c>
      <c r="BK21" s="202">
        <v>5557</v>
      </c>
    </row>
    <row r="22" spans="2:63" ht="18" customHeight="1">
      <c r="B22" s="96">
        <f>IF(B13&lt;L22,0,B13)</f>
        <v>0</v>
      </c>
      <c r="C22" s="96">
        <f>IF(C13&gt;M13,Data!D10,M13)</f>
        <v>34638</v>
      </c>
      <c r="D22" s="97" t="str">
        <f>IF(B13&gt;=M13,"15/-","10/-")</f>
        <v>10/-</v>
      </c>
      <c r="E22" s="109">
        <f>IF(B22&lt;L22,0,IF(B22&gt;M22,0,LOOKUP(Q22,Data!$F$35:$F$44,Data!$G$35:$G$44)))</f>
        <v>0</v>
      </c>
      <c r="F22" s="109">
        <v>0</v>
      </c>
      <c r="G22" s="109">
        <f>IF(B22&gt;M22,AG30,0)</f>
        <v>0</v>
      </c>
      <c r="H22" s="109">
        <f>SUM(E22:G22)</f>
        <v>0</v>
      </c>
      <c r="I22" s="97">
        <f>IF(B12&gt;M12,O13-O12,O13)</f>
        <v>-2</v>
      </c>
      <c r="J22" s="109">
        <f>H22*I22</f>
        <v>0</v>
      </c>
      <c r="L22" s="98">
        <v>30987</v>
      </c>
      <c r="M22" s="98">
        <v>34638</v>
      </c>
      <c r="N22" s="85">
        <f>Data!J39</f>
        <v>8</v>
      </c>
      <c r="O22" s="85">
        <f>IF(N22&lt;11,N22+3,N22-9)</f>
        <v>11</v>
      </c>
      <c r="P22" s="85" t="str">
        <f>Data!K39</f>
        <v>2011-2012</v>
      </c>
      <c r="Q22" s="85">
        <f>ROUND((C22-B22)/30/12,0)</f>
        <v>96</v>
      </c>
      <c r="S22" s="98">
        <f>T21+1</f>
        <v>32082</v>
      </c>
      <c r="T22" s="98">
        <f t="shared" si="2"/>
        <v>32447</v>
      </c>
      <c r="U22" s="85">
        <f t="shared" si="3"/>
        <v>12</v>
      </c>
      <c r="V22" s="85">
        <f t="shared" si="0"/>
        <v>12</v>
      </c>
      <c r="X22" s="85">
        <f t="shared" si="4"/>
        <v>134.19</v>
      </c>
      <c r="AD22" s="85">
        <f>IF(YEAR(B19)=2008,VLOOKUP(P19,AY243:BK248,O19),0)</f>
        <v>0</v>
      </c>
      <c r="AE22" s="85">
        <f>IF(YEAR(B20)=2008,VLOOKUP(P20,AY243:BK248,O20),0)</f>
        <v>0</v>
      </c>
      <c r="AF22" s="85">
        <f>IF(YEAR(B21)=2008,VLOOKUP(P21,AY243:BK248,O21),0)</f>
        <v>0</v>
      </c>
      <c r="AG22" s="85">
        <f>IF(YEAR(B22)=2008,VLOOKUP(P22,AY243:BK248,O22),0)</f>
        <v>0</v>
      </c>
      <c r="AH22" s="376">
        <f>IF($B11&gt;=$M11,$F11/15,$F11/10)</f>
        <v>1</v>
      </c>
      <c r="AI22" s="392"/>
      <c r="AK22" s="196" t="s">
        <v>242</v>
      </c>
      <c r="AL22" s="197">
        <v>393</v>
      </c>
      <c r="AM22" s="197">
        <v>397</v>
      </c>
      <c r="AN22" s="197">
        <v>400</v>
      </c>
      <c r="AO22" s="197">
        <v>404</v>
      </c>
      <c r="AP22" s="197">
        <v>407</v>
      </c>
      <c r="AQ22" s="198">
        <v>411</v>
      </c>
      <c r="AR22" s="198">
        <v>414</v>
      </c>
      <c r="AS22" s="198">
        <v>418</v>
      </c>
      <c r="AT22" s="198">
        <v>421</v>
      </c>
      <c r="AU22" s="198">
        <v>425</v>
      </c>
      <c r="AV22" s="198">
        <v>429</v>
      </c>
      <c r="AW22" s="198">
        <v>432</v>
      </c>
      <c r="AY22" s="196" t="s">
        <v>242</v>
      </c>
      <c r="AZ22" s="202">
        <v>5607</v>
      </c>
      <c r="BA22" s="202">
        <v>5657</v>
      </c>
      <c r="BB22" s="202">
        <v>5708</v>
      </c>
      <c r="BC22" s="202">
        <v>5760</v>
      </c>
      <c r="BD22" s="202">
        <v>5811</v>
      </c>
      <c r="BE22" s="203">
        <v>5864</v>
      </c>
      <c r="BF22" s="203">
        <v>5917</v>
      </c>
      <c r="BG22" s="203">
        <v>5969</v>
      </c>
      <c r="BH22" s="203">
        <v>6023</v>
      </c>
      <c r="BI22" s="203">
        <v>6077</v>
      </c>
      <c r="BJ22" s="203">
        <v>6131</v>
      </c>
      <c r="BK22" s="203">
        <v>6186</v>
      </c>
    </row>
    <row r="23" spans="2:63" ht="18" customHeight="1">
      <c r="B23" s="95"/>
      <c r="C23" s="95"/>
      <c r="D23" s="95"/>
      <c r="E23" s="95"/>
      <c r="F23" s="95"/>
      <c r="G23" s="95"/>
      <c r="H23" s="95"/>
      <c r="I23" s="95"/>
      <c r="J23" s="110"/>
      <c r="L23" s="98">
        <v>30987</v>
      </c>
      <c r="M23" s="98">
        <v>34638</v>
      </c>
      <c r="N23" s="85">
        <f>Data!J39</f>
        <v>8</v>
      </c>
      <c r="O23" s="85">
        <f>IF(N23&lt;11,N23+3,N23-9)</f>
        <v>11</v>
      </c>
      <c r="P23" s="85" t="str">
        <f>Data!K39</f>
        <v>2011-2012</v>
      </c>
      <c r="Q23" s="85">
        <f>ROUND((C23-B23)/30/12,0)</f>
        <v>0</v>
      </c>
      <c r="S23" s="98">
        <f t="shared" si="1"/>
        <v>32448</v>
      </c>
      <c r="T23" s="98">
        <f t="shared" si="2"/>
        <v>32812</v>
      </c>
      <c r="U23" s="85">
        <f t="shared" si="3"/>
        <v>12</v>
      </c>
      <c r="V23" s="85">
        <f t="shared" si="0"/>
        <v>12</v>
      </c>
      <c r="X23" s="85">
        <f>(U23*$T$17)+$T$17*V23*U23*(U23+1)/2/12/100</f>
        <v>134.19</v>
      </c>
      <c r="AB23" s="101"/>
      <c r="AC23" s="101"/>
      <c r="AD23" s="101">
        <f>IF(YEAR(B19)=2009,VLOOKUP(P19,AY250:BK254,O19),0)</f>
        <v>0</v>
      </c>
      <c r="AE23" s="85">
        <f>IF(YEAR(B20)=2009,VLOOKUP(P20,AY250:BK254,O20),0)</f>
        <v>0</v>
      </c>
      <c r="AF23" s="85">
        <f>IF(YEAR(B21)=2009,VLOOKUP(P21,AY250:BK254,O21),0)</f>
        <v>0</v>
      </c>
      <c r="AG23" s="85">
        <f>IF(YEAR(B22)=2009,VLOOKUP(P22,AY250:BK254,O22),0)</f>
        <v>0</v>
      </c>
      <c r="AH23" s="376">
        <f>IF($B12&gt;=$M12,$F12/15,$F12/10)</f>
        <v>2</v>
      </c>
      <c r="AI23" s="392"/>
      <c r="AK23" s="195" t="s">
        <v>314</v>
      </c>
      <c r="AL23" s="199">
        <v>436</v>
      </c>
      <c r="AM23" s="199">
        <v>440</v>
      </c>
      <c r="AN23" s="199">
        <v>444</v>
      </c>
      <c r="AO23" s="199">
        <v>448</v>
      </c>
      <c r="AP23" s="199">
        <v>452</v>
      </c>
      <c r="AQ23"/>
      <c r="AR23"/>
      <c r="AS23"/>
      <c r="AT23"/>
      <c r="AU23"/>
      <c r="AV23"/>
      <c r="AW23"/>
      <c r="AY23" s="195" t="s">
        <v>314</v>
      </c>
      <c r="AZ23" s="203">
        <v>6241</v>
      </c>
      <c r="BA23" s="203">
        <v>6296</v>
      </c>
      <c r="BB23" s="203">
        <v>6352</v>
      </c>
      <c r="BC23" s="203">
        <v>6408</v>
      </c>
      <c r="BD23" s="203">
        <v>6465</v>
      </c>
      <c r="BE23"/>
      <c r="BF23"/>
      <c r="BG23"/>
      <c r="BH23"/>
      <c r="BI23"/>
      <c r="BJ23"/>
      <c r="BK23"/>
    </row>
    <row r="24" spans="2:63" ht="18" customHeight="1">
      <c r="B24" s="431" t="str">
        <f>"Total Accumulated Savings with Interest upto "&amp;Data!I39</f>
        <v>Total Accumulated Savings with Interest upto 31-8-2012</v>
      </c>
      <c r="C24" s="432"/>
      <c r="D24" s="432"/>
      <c r="E24" s="432"/>
      <c r="F24" s="432"/>
      <c r="G24" s="432"/>
      <c r="H24" s="432"/>
      <c r="I24" s="433"/>
      <c r="J24" s="109">
        <f>SUM(J19:J23)</f>
        <v>16302</v>
      </c>
      <c r="L24" s="101"/>
      <c r="M24" s="101"/>
      <c r="N24" s="101"/>
      <c r="O24" s="101"/>
      <c r="P24" s="101"/>
      <c r="Q24" s="101"/>
      <c r="R24" s="101"/>
      <c r="S24" s="98">
        <f t="shared" si="1"/>
        <v>32813</v>
      </c>
      <c r="T24" s="98">
        <f t="shared" si="2"/>
        <v>33177</v>
      </c>
      <c r="U24" s="85">
        <f t="shared" si="3"/>
        <v>12</v>
      </c>
      <c r="V24" s="85">
        <f t="shared" si="0"/>
        <v>12</v>
      </c>
      <c r="W24" s="101"/>
      <c r="X24" s="85">
        <f t="shared" si="4"/>
        <v>134.19</v>
      </c>
      <c r="Y24" s="101"/>
      <c r="Z24" s="101"/>
      <c r="AA24" s="101"/>
      <c r="AD24" s="85">
        <f>IF(YEAR(B19)=2010,VLOOKUP(P19,AY256:BK259,O19),0)</f>
        <v>0</v>
      </c>
      <c r="AE24" s="85">
        <f>IF(YEAR(B20)=2010,VLOOKUP(P20,AY256:BK259,O20),0)</f>
        <v>0</v>
      </c>
      <c r="AF24" s="85">
        <f>IF(YEAR(B21)=2010,VLOOKUP(P21,AY256:BK259,O21),0)</f>
        <v>0</v>
      </c>
      <c r="AG24" s="85">
        <f>IF(YEAR(B22)=2010,VLOOKUP(P22,AY256:BK259,O22),0)</f>
        <v>0</v>
      </c>
      <c r="AH24" s="376">
        <f>IF($B13&gt;=$M13,$F13/15,$F13/10)</f>
        <v>0</v>
      </c>
      <c r="AI24" s="392"/>
      <c r="AK24" s="195" t="s">
        <v>147</v>
      </c>
      <c r="AL24" s="196" t="s">
        <v>116</v>
      </c>
      <c r="AM24" s="196" t="s">
        <v>117</v>
      </c>
      <c r="AN24" s="196" t="s">
        <v>118</v>
      </c>
      <c r="AO24" s="196" t="s">
        <v>124</v>
      </c>
      <c r="AP24" s="196" t="s">
        <v>125</v>
      </c>
      <c r="AQ24" s="196" t="s">
        <v>126</v>
      </c>
      <c r="AR24" s="196" t="s">
        <v>119</v>
      </c>
      <c r="AS24" s="196" t="s">
        <v>120</v>
      </c>
      <c r="AT24" s="196" t="s">
        <v>121</v>
      </c>
      <c r="AU24" s="196" t="s">
        <v>122</v>
      </c>
      <c r="AV24" s="196" t="s">
        <v>241</v>
      </c>
      <c r="AW24" s="196" t="s">
        <v>128</v>
      </c>
      <c r="AY24" s="201" t="s">
        <v>123</v>
      </c>
      <c r="AZ24" s="201" t="s">
        <v>116</v>
      </c>
      <c r="BA24" s="201" t="s">
        <v>117</v>
      </c>
      <c r="BB24" s="201" t="s">
        <v>118</v>
      </c>
      <c r="BC24" s="201" t="s">
        <v>124</v>
      </c>
      <c r="BD24" s="201" t="s">
        <v>125</v>
      </c>
      <c r="BE24" s="201" t="s">
        <v>126</v>
      </c>
      <c r="BF24" s="201" t="s">
        <v>119</v>
      </c>
      <c r="BG24" s="201" t="s">
        <v>120</v>
      </c>
      <c r="BH24" s="201" t="s">
        <v>121</v>
      </c>
      <c r="BI24" s="201" t="s">
        <v>122</v>
      </c>
      <c r="BJ24" s="201" t="s">
        <v>127</v>
      </c>
      <c r="BK24" s="201" t="s">
        <v>128</v>
      </c>
    </row>
    <row r="25" spans="1:63" s="101" customFormat="1" ht="18" customHeight="1">
      <c r="A25" s="314"/>
      <c r="B25" s="85"/>
      <c r="C25" s="85"/>
      <c r="D25" s="85"/>
      <c r="E25" s="85"/>
      <c r="F25" s="85"/>
      <c r="G25" s="85"/>
      <c r="H25" s="85"/>
      <c r="I25" s="85"/>
      <c r="J25" s="85"/>
      <c r="K25" s="272"/>
      <c r="L25" s="85"/>
      <c r="M25" s="85"/>
      <c r="N25" s="85"/>
      <c r="O25" s="85"/>
      <c r="P25" s="85"/>
      <c r="Q25" s="85"/>
      <c r="R25" s="85"/>
      <c r="S25" s="98">
        <f t="shared" si="1"/>
        <v>33178</v>
      </c>
      <c r="T25" s="98">
        <f t="shared" si="2"/>
        <v>33542</v>
      </c>
      <c r="U25" s="85">
        <f t="shared" si="3"/>
        <v>12</v>
      </c>
      <c r="V25" s="85">
        <f t="shared" si="0"/>
        <v>12</v>
      </c>
      <c r="W25" s="85"/>
      <c r="X25" s="85">
        <f t="shared" si="4"/>
        <v>134.19</v>
      </c>
      <c r="Y25" s="85"/>
      <c r="Z25" s="85"/>
      <c r="AA25" s="85"/>
      <c r="AB25" s="85"/>
      <c r="AC25" s="85"/>
      <c r="AD25" s="85">
        <f>IF(YEAR(B19)=2011,VLOOKUP(P19,AY261:BK263,O19),0)</f>
        <v>0</v>
      </c>
      <c r="AE25" s="85">
        <f>IF(YEAR(B20)=2011,VLOOKUP(P20,AY261:BK263,O20),0)</f>
        <v>0</v>
      </c>
      <c r="AF25" s="85">
        <f>IF(YEAR(B21)=2011,VLOOKUP(P21,AY261:BK263,O21),0)</f>
        <v>0</v>
      </c>
      <c r="AG25" s="85">
        <f>IF(YEAR(B22)=2011,VLOOKUP(P22,AY261:BK263,O22),0)</f>
        <v>0</v>
      </c>
      <c r="AH25" s="102">
        <f>MAX(AH21:AH24)</f>
        <v>2</v>
      </c>
      <c r="AI25" s="102">
        <f>LOOKUP(AH25,AH15:AH19,AI15:AI19)</f>
        <v>30</v>
      </c>
      <c r="AJ25" s="85"/>
      <c r="AK25" s="196" t="s">
        <v>129</v>
      </c>
      <c r="AL25" s="197">
        <v>2</v>
      </c>
      <c r="AM25" s="197">
        <v>4</v>
      </c>
      <c r="AN25" s="197">
        <v>5</v>
      </c>
      <c r="AO25" s="197">
        <v>7</v>
      </c>
      <c r="AP25" s="197">
        <v>9</v>
      </c>
      <c r="AQ25" s="197">
        <v>11</v>
      </c>
      <c r="AR25" s="197">
        <v>13</v>
      </c>
      <c r="AS25" s="197">
        <v>15</v>
      </c>
      <c r="AT25" s="197">
        <v>17</v>
      </c>
      <c r="AU25" s="197">
        <v>19</v>
      </c>
      <c r="AV25" s="197">
        <v>21</v>
      </c>
      <c r="AW25" s="197">
        <v>23</v>
      </c>
      <c r="AX25" s="85"/>
      <c r="AY25" s="196" t="s">
        <v>130</v>
      </c>
      <c r="AZ25" s="202">
        <v>11</v>
      </c>
      <c r="BA25" s="202">
        <v>21</v>
      </c>
      <c r="BB25" s="202">
        <v>32</v>
      </c>
      <c r="BC25" s="202">
        <v>43</v>
      </c>
      <c r="BD25" s="202">
        <v>54</v>
      </c>
      <c r="BE25" s="202">
        <v>65</v>
      </c>
      <c r="BF25" s="202">
        <v>76</v>
      </c>
      <c r="BG25" s="202">
        <v>87</v>
      </c>
      <c r="BH25" s="202">
        <v>98</v>
      </c>
      <c r="BI25" s="202">
        <v>110</v>
      </c>
      <c r="BJ25" s="202">
        <v>121</v>
      </c>
      <c r="BK25" s="202">
        <v>133</v>
      </c>
    </row>
    <row r="26" spans="2:63" ht="15">
      <c r="B26" s="85" t="str">
        <f>"Total Accumulated Savings with Interest upto "&amp;Data!I39</f>
        <v>Total Accumulated Savings with Interest upto 31-8-2012</v>
      </c>
      <c r="F26" s="99" t="s">
        <v>106</v>
      </c>
      <c r="G26" s="111">
        <f>J14</f>
        <v>4815</v>
      </c>
      <c r="S26" s="98">
        <f t="shared" si="1"/>
        <v>33543</v>
      </c>
      <c r="T26" s="98">
        <f t="shared" si="2"/>
        <v>33908</v>
      </c>
      <c r="U26" s="85">
        <f t="shared" si="3"/>
        <v>12</v>
      </c>
      <c r="V26" s="85">
        <f t="shared" si="0"/>
        <v>12</v>
      </c>
      <c r="X26" s="85">
        <f>(U26*$T$17)+$T$17*V26*U26*(U26+1)/2/12/100</f>
        <v>134.19</v>
      </c>
      <c r="AD26" s="85">
        <f>IF(YEAR(B19)=2012,VLOOKUP(P19,AY265:BK266,O19),0)</f>
        <v>0</v>
      </c>
      <c r="AE26" s="85">
        <f>IF(YEAR(B20)=2012,VLOOKUP(P20,AY265:BK266,O20),0)</f>
        <v>0</v>
      </c>
      <c r="AF26" s="85">
        <f>IF(YEAR(B21)=2012,VLOOKUP(P21,AY265:BK266,O21),0)</f>
        <v>0</v>
      </c>
      <c r="AG26" s="85">
        <f>IF(YEAR(B22)=2012,VLOOKUP(P22,AY265:BK266,O22),0)</f>
        <v>0</v>
      </c>
      <c r="AK26" s="196" t="s">
        <v>130</v>
      </c>
      <c r="AL26" s="197">
        <v>25</v>
      </c>
      <c r="AM26" s="197">
        <v>27</v>
      </c>
      <c r="AN26" s="197">
        <v>29</v>
      </c>
      <c r="AO26" s="197">
        <v>31</v>
      </c>
      <c r="AP26" s="197">
        <v>33</v>
      </c>
      <c r="AQ26" s="197">
        <v>35</v>
      </c>
      <c r="AR26" s="197">
        <v>37</v>
      </c>
      <c r="AS26" s="197">
        <v>39</v>
      </c>
      <c r="AT26" s="197">
        <v>42</v>
      </c>
      <c r="AU26" s="197">
        <v>44</v>
      </c>
      <c r="AV26" s="197">
        <v>46</v>
      </c>
      <c r="AW26" s="197">
        <v>48</v>
      </c>
      <c r="AY26" s="196" t="s">
        <v>131</v>
      </c>
      <c r="AZ26" s="202">
        <v>145</v>
      </c>
      <c r="BA26" s="202">
        <v>157</v>
      </c>
      <c r="BB26" s="202">
        <v>169</v>
      </c>
      <c r="BC26" s="202">
        <v>181</v>
      </c>
      <c r="BD26" s="202">
        <v>193</v>
      </c>
      <c r="BE26" s="202">
        <v>206</v>
      </c>
      <c r="BF26" s="202">
        <v>218</v>
      </c>
      <c r="BG26" s="202">
        <v>231</v>
      </c>
      <c r="BH26" s="202">
        <v>244</v>
      </c>
      <c r="BI26" s="202">
        <v>257</v>
      </c>
      <c r="BJ26" s="202">
        <v>270</v>
      </c>
      <c r="BK26" s="202">
        <v>283</v>
      </c>
    </row>
    <row r="27" spans="2:63" ht="13.5" customHeight="1">
      <c r="B27" s="85" t="s">
        <v>303</v>
      </c>
      <c r="F27" s="99" t="s">
        <v>106</v>
      </c>
      <c r="G27" s="192">
        <f>J24-J14</f>
        <v>11487</v>
      </c>
      <c r="S27" s="98">
        <f t="shared" si="1"/>
        <v>33909</v>
      </c>
      <c r="T27" s="98">
        <f t="shared" si="2"/>
        <v>34273</v>
      </c>
      <c r="U27" s="85">
        <f t="shared" si="3"/>
        <v>12</v>
      </c>
      <c r="V27" s="85">
        <f t="shared" si="0"/>
        <v>12</v>
      </c>
      <c r="X27" s="85">
        <f t="shared" si="4"/>
        <v>134.19</v>
      </c>
      <c r="AD27" s="85">
        <f>IF(YEAR(B19)=2013,VLOOKUP(P19,AY265:BK266,O19),0)</f>
        <v>0</v>
      </c>
      <c r="AE27" s="85">
        <f>IF(YEAR(B20)=2013,VLOOKUP(P20,AY265:BK266,O20),0)</f>
        <v>0</v>
      </c>
      <c r="AF27" s="85">
        <f>IF(YEAR(B21)=2013,VLOOKUP(P21,AY265:BK266,O21),0)</f>
        <v>0</v>
      </c>
      <c r="AG27" s="85">
        <f>IF(YEAR(B22)=2013,VLOOKUP(P22,AY265:BK266,O22),0)</f>
        <v>0</v>
      </c>
      <c r="AI27" s="85">
        <f>LOOKUP(AI25,$AI$15:$AI$19,$AJ$15:$AJ$19)</f>
        <v>30000</v>
      </c>
      <c r="AK27" s="196" t="s">
        <v>131</v>
      </c>
      <c r="AL27" s="197">
        <v>51</v>
      </c>
      <c r="AM27" s="197">
        <v>53</v>
      </c>
      <c r="AN27" s="197">
        <v>55</v>
      </c>
      <c r="AO27" s="197">
        <v>58</v>
      </c>
      <c r="AP27" s="197">
        <v>60</v>
      </c>
      <c r="AQ27" s="197">
        <v>62</v>
      </c>
      <c r="AR27" s="197">
        <v>65</v>
      </c>
      <c r="AS27" s="197">
        <v>67</v>
      </c>
      <c r="AT27" s="197">
        <v>70</v>
      </c>
      <c r="AU27" s="197">
        <v>72</v>
      </c>
      <c r="AV27" s="197">
        <v>75</v>
      </c>
      <c r="AW27" s="197">
        <v>77</v>
      </c>
      <c r="AY27" s="196" t="s">
        <v>132</v>
      </c>
      <c r="AZ27" s="202">
        <v>296</v>
      </c>
      <c r="BA27" s="202">
        <v>310</v>
      </c>
      <c r="BB27" s="202">
        <v>323</v>
      </c>
      <c r="BC27" s="202">
        <v>337</v>
      </c>
      <c r="BD27" s="202">
        <v>351</v>
      </c>
      <c r="BE27" s="202">
        <v>365</v>
      </c>
      <c r="BF27" s="202">
        <v>379</v>
      </c>
      <c r="BG27" s="202">
        <v>393</v>
      </c>
      <c r="BH27" s="202">
        <v>407</v>
      </c>
      <c r="BI27" s="202">
        <v>422</v>
      </c>
      <c r="BJ27" s="202">
        <v>437</v>
      </c>
      <c r="BK27" s="202">
        <v>451</v>
      </c>
    </row>
    <row r="28" spans="2:63" ht="15">
      <c r="B28" s="85" t="s">
        <v>157</v>
      </c>
      <c r="F28" s="99" t="s">
        <v>106</v>
      </c>
      <c r="G28" s="112">
        <f>SUM(G26:G27)</f>
        <v>16302</v>
      </c>
      <c r="S28" s="98">
        <f t="shared" si="1"/>
        <v>34274</v>
      </c>
      <c r="T28" s="98">
        <f t="shared" si="2"/>
        <v>34638</v>
      </c>
      <c r="U28" s="85">
        <f>ROUND((T28-S28)/30,0)</f>
        <v>12</v>
      </c>
      <c r="V28" s="85">
        <f t="shared" si="0"/>
        <v>12</v>
      </c>
      <c r="X28" s="85">
        <f aca="true" t="shared" si="5" ref="X28:X37">(U28*$T$17)+$T$17*V28*U28*(U28+1)/2/12/100</f>
        <v>134.19</v>
      </c>
      <c r="AK28" s="196" t="s">
        <v>132</v>
      </c>
      <c r="AL28" s="197">
        <v>80</v>
      </c>
      <c r="AM28" s="197">
        <v>82</v>
      </c>
      <c r="AN28" s="197">
        <v>85</v>
      </c>
      <c r="AO28" s="197">
        <v>87</v>
      </c>
      <c r="AP28" s="197">
        <v>90</v>
      </c>
      <c r="AQ28" s="197">
        <v>93</v>
      </c>
      <c r="AR28" s="197">
        <v>95</v>
      </c>
      <c r="AS28" s="197">
        <v>98</v>
      </c>
      <c r="AT28" s="197">
        <v>101</v>
      </c>
      <c r="AU28" s="197">
        <v>104</v>
      </c>
      <c r="AV28" s="197">
        <v>107</v>
      </c>
      <c r="AW28" s="197">
        <v>109</v>
      </c>
      <c r="AY28" s="196" t="s">
        <v>133</v>
      </c>
      <c r="AZ28" s="202">
        <v>466</v>
      </c>
      <c r="BA28" s="202">
        <v>482</v>
      </c>
      <c r="BB28" s="202">
        <v>497</v>
      </c>
      <c r="BC28" s="202">
        <v>512</v>
      </c>
      <c r="BD28" s="202">
        <v>528</v>
      </c>
      <c r="BE28" s="202">
        <v>544</v>
      </c>
      <c r="BF28" s="202">
        <v>559</v>
      </c>
      <c r="BG28" s="202">
        <v>575</v>
      </c>
      <c r="BH28" s="202">
        <v>592</v>
      </c>
      <c r="BI28" s="202">
        <v>608</v>
      </c>
      <c r="BJ28" s="202">
        <v>625</v>
      </c>
      <c r="BK28" s="202">
        <v>641</v>
      </c>
    </row>
    <row r="29" spans="19:63" s="272" customFormat="1" ht="20.25" customHeight="1">
      <c r="S29" s="315">
        <f t="shared" si="1"/>
        <v>34639</v>
      </c>
      <c r="T29" s="98">
        <f t="shared" si="2"/>
        <v>35003</v>
      </c>
      <c r="U29" s="272">
        <f t="shared" si="3"/>
        <v>12</v>
      </c>
      <c r="V29" s="272">
        <f aca="true" t="shared" si="6" ref="V29:V49">LOOKUP(S29,$Q$35:$Q$55,$R$35:$R$55)</f>
        <v>12</v>
      </c>
      <c r="X29" s="272">
        <f t="shared" si="5"/>
        <v>134.19</v>
      </c>
      <c r="AK29" s="316" t="s">
        <v>133</v>
      </c>
      <c r="AL29" s="317">
        <v>112</v>
      </c>
      <c r="AM29" s="317">
        <v>115</v>
      </c>
      <c r="AN29" s="317">
        <v>118</v>
      </c>
      <c r="AO29" s="317">
        <v>121</v>
      </c>
      <c r="AP29" s="317">
        <v>124</v>
      </c>
      <c r="AQ29" s="317">
        <v>127</v>
      </c>
      <c r="AR29" s="317">
        <v>130</v>
      </c>
      <c r="AS29" s="317">
        <v>133</v>
      </c>
      <c r="AT29" s="317">
        <v>136</v>
      </c>
      <c r="AU29" s="317">
        <v>140</v>
      </c>
      <c r="AV29" s="317">
        <v>143</v>
      </c>
      <c r="AW29" s="317">
        <v>146</v>
      </c>
      <c r="AY29" s="316" t="s">
        <v>134</v>
      </c>
      <c r="AZ29" s="318">
        <v>658</v>
      </c>
      <c r="BA29" s="318">
        <v>675</v>
      </c>
      <c r="BB29" s="318">
        <v>692</v>
      </c>
      <c r="BC29" s="318">
        <v>710</v>
      </c>
      <c r="BD29" s="318">
        <v>727</v>
      </c>
      <c r="BE29" s="318">
        <v>744</v>
      </c>
      <c r="BF29" s="318">
        <v>761</v>
      </c>
      <c r="BG29" s="318">
        <v>779</v>
      </c>
      <c r="BH29" s="318">
        <v>797</v>
      </c>
      <c r="BI29" s="318">
        <v>814</v>
      </c>
      <c r="BJ29" s="318">
        <v>832</v>
      </c>
      <c r="BK29" s="318">
        <v>850</v>
      </c>
    </row>
    <row r="30" spans="19:63" ht="15" hidden="1">
      <c r="S30" s="98">
        <f t="shared" si="1"/>
        <v>35004</v>
      </c>
      <c r="T30" s="98">
        <f t="shared" si="2"/>
        <v>35369</v>
      </c>
      <c r="U30" s="85">
        <f t="shared" si="3"/>
        <v>12</v>
      </c>
      <c r="V30" s="85">
        <f t="shared" si="6"/>
        <v>12</v>
      </c>
      <c r="X30" s="85">
        <f t="shared" si="5"/>
        <v>134.19</v>
      </c>
      <c r="AB30" s="85">
        <f aca="true" t="shared" si="7" ref="AB30:AG30">SUM(AB4:AB29)</f>
        <v>6191</v>
      </c>
      <c r="AC30" s="85">
        <f t="shared" si="7"/>
        <v>0</v>
      </c>
      <c r="AD30" s="85">
        <f t="shared" si="7"/>
        <v>0</v>
      </c>
      <c r="AE30" s="85">
        <f t="shared" si="7"/>
        <v>5457</v>
      </c>
      <c r="AF30" s="85">
        <f t="shared" si="7"/>
        <v>3266</v>
      </c>
      <c r="AG30" s="85">
        <f t="shared" si="7"/>
        <v>0</v>
      </c>
      <c r="AK30" s="196" t="s">
        <v>134</v>
      </c>
      <c r="AL30" s="197">
        <v>149</v>
      </c>
      <c r="AM30" s="197">
        <v>152</v>
      </c>
      <c r="AN30" s="197">
        <v>156</v>
      </c>
      <c r="AO30" s="197">
        <v>159</v>
      </c>
      <c r="AP30" s="197">
        <v>162</v>
      </c>
      <c r="AQ30" s="197">
        <v>165</v>
      </c>
      <c r="AR30" s="197">
        <v>168</v>
      </c>
      <c r="AS30" s="197">
        <v>171</v>
      </c>
      <c r="AT30" s="197">
        <v>175</v>
      </c>
      <c r="AU30" s="197">
        <v>178</v>
      </c>
      <c r="AV30" s="197">
        <v>181</v>
      </c>
      <c r="AW30" s="197">
        <v>184</v>
      </c>
      <c r="AY30" s="196" t="s">
        <v>135</v>
      </c>
      <c r="AZ30" s="202">
        <v>869</v>
      </c>
      <c r="BA30" s="202">
        <v>887</v>
      </c>
      <c r="BB30" s="202">
        <v>906</v>
      </c>
      <c r="BC30" s="202">
        <v>924</v>
      </c>
      <c r="BD30" s="202">
        <v>943</v>
      </c>
      <c r="BE30" s="202">
        <v>961</v>
      </c>
      <c r="BF30" s="202">
        <v>979</v>
      </c>
      <c r="BG30" s="202">
        <v>997</v>
      </c>
      <c r="BH30" s="202">
        <v>1016</v>
      </c>
      <c r="BI30" s="202">
        <v>1034</v>
      </c>
      <c r="BJ30" s="202">
        <v>1053</v>
      </c>
      <c r="BK30" s="202">
        <v>1072</v>
      </c>
    </row>
    <row r="31" spans="19:63" ht="15" hidden="1">
      <c r="S31" s="98">
        <f>T30+1</f>
        <v>35370</v>
      </c>
      <c r="T31" s="98">
        <f t="shared" si="2"/>
        <v>35734</v>
      </c>
      <c r="U31" s="85">
        <f t="shared" si="3"/>
        <v>12</v>
      </c>
      <c r="V31" s="85">
        <f t="shared" si="6"/>
        <v>12</v>
      </c>
      <c r="X31" s="85">
        <f t="shared" si="5"/>
        <v>134.19</v>
      </c>
      <c r="AK31" s="196" t="s">
        <v>135</v>
      </c>
      <c r="AL31" s="197">
        <v>188</v>
      </c>
      <c r="AM31" s="197">
        <v>191</v>
      </c>
      <c r="AN31" s="197">
        <v>194</v>
      </c>
      <c r="AO31" s="197">
        <v>198</v>
      </c>
      <c r="AP31" s="197">
        <v>201</v>
      </c>
      <c r="AQ31" s="197">
        <v>204</v>
      </c>
      <c r="AR31" s="197">
        <v>207</v>
      </c>
      <c r="AS31" s="197">
        <v>210</v>
      </c>
      <c r="AT31" s="197">
        <v>213</v>
      </c>
      <c r="AU31" s="197">
        <v>217</v>
      </c>
      <c r="AV31" s="197">
        <v>220</v>
      </c>
      <c r="AW31" s="197">
        <v>223</v>
      </c>
      <c r="AY31" s="196" t="s">
        <v>136</v>
      </c>
      <c r="AZ31" s="202">
        <v>1090</v>
      </c>
      <c r="BA31" s="202">
        <v>1109</v>
      </c>
      <c r="BB31" s="202">
        <v>1129</v>
      </c>
      <c r="BC31" s="202">
        <v>1148</v>
      </c>
      <c r="BD31" s="202">
        <v>1167</v>
      </c>
      <c r="BE31" s="202">
        <v>1187</v>
      </c>
      <c r="BF31" s="202">
        <v>1206</v>
      </c>
      <c r="BG31" s="202">
        <v>1225</v>
      </c>
      <c r="BH31" s="202">
        <v>1245</v>
      </c>
      <c r="BI31" s="202">
        <v>1265</v>
      </c>
      <c r="BJ31" s="202">
        <v>1285</v>
      </c>
      <c r="BK31" s="202">
        <v>1305</v>
      </c>
    </row>
    <row r="32" spans="7:63" ht="15" hidden="1">
      <c r="G32" s="429"/>
      <c r="H32" s="429"/>
      <c r="I32" s="429"/>
      <c r="J32" s="429"/>
      <c r="S32" s="98">
        <f t="shared" si="1"/>
        <v>35735</v>
      </c>
      <c r="T32" s="98">
        <f t="shared" si="2"/>
        <v>36099</v>
      </c>
      <c r="U32" s="85">
        <f t="shared" si="3"/>
        <v>12</v>
      </c>
      <c r="V32" s="85">
        <f t="shared" si="6"/>
        <v>12</v>
      </c>
      <c r="X32" s="85">
        <f t="shared" si="5"/>
        <v>134.19</v>
      </c>
      <c r="AK32" s="196" t="s">
        <v>136</v>
      </c>
      <c r="AL32" s="197">
        <v>226</v>
      </c>
      <c r="AM32" s="197">
        <v>229</v>
      </c>
      <c r="AN32" s="197">
        <v>232</v>
      </c>
      <c r="AO32" s="197">
        <v>236</v>
      </c>
      <c r="AP32" s="197">
        <v>239</v>
      </c>
      <c r="AQ32" s="197">
        <v>242</v>
      </c>
      <c r="AR32" s="197">
        <v>245</v>
      </c>
      <c r="AS32" s="197">
        <v>248</v>
      </c>
      <c r="AT32" s="197">
        <v>252</v>
      </c>
      <c r="AU32" s="197">
        <v>255</v>
      </c>
      <c r="AV32" s="197">
        <v>258</v>
      </c>
      <c r="AW32" s="197">
        <v>261</v>
      </c>
      <c r="AY32" s="196" t="s">
        <v>137</v>
      </c>
      <c r="AZ32" s="202">
        <v>1325</v>
      </c>
      <c r="BA32" s="202">
        <v>1345</v>
      </c>
      <c r="BB32" s="202">
        <v>1366</v>
      </c>
      <c r="BC32" s="202">
        <v>1387</v>
      </c>
      <c r="BD32" s="202">
        <v>1407</v>
      </c>
      <c r="BE32" s="202">
        <v>1428</v>
      </c>
      <c r="BF32" s="202">
        <v>1450</v>
      </c>
      <c r="BG32" s="202">
        <v>1471</v>
      </c>
      <c r="BH32" s="202">
        <v>1492</v>
      </c>
      <c r="BI32" s="202">
        <v>1514</v>
      </c>
      <c r="BJ32" s="202">
        <v>1536</v>
      </c>
      <c r="BK32" s="202">
        <v>1558</v>
      </c>
    </row>
    <row r="33" spans="7:63" ht="15" hidden="1">
      <c r="G33" s="429"/>
      <c r="H33" s="429"/>
      <c r="I33" s="429"/>
      <c r="J33" s="429"/>
      <c r="Q33" s="85" t="s">
        <v>1</v>
      </c>
      <c r="R33" s="85" t="s">
        <v>108</v>
      </c>
      <c r="S33" s="98">
        <f t="shared" si="1"/>
        <v>36100</v>
      </c>
      <c r="T33" s="98">
        <f t="shared" si="2"/>
        <v>36464</v>
      </c>
      <c r="U33" s="85">
        <f t="shared" si="3"/>
        <v>12</v>
      </c>
      <c r="V33" s="85">
        <f t="shared" si="6"/>
        <v>12</v>
      </c>
      <c r="X33" s="210">
        <f t="shared" si="5"/>
        <v>134.19</v>
      </c>
      <c r="AK33" s="196" t="s">
        <v>137</v>
      </c>
      <c r="AL33" s="197">
        <v>265</v>
      </c>
      <c r="AM33" s="197">
        <v>268</v>
      </c>
      <c r="AN33" s="197">
        <v>271</v>
      </c>
      <c r="AO33" s="197">
        <v>275</v>
      </c>
      <c r="AP33" s="197">
        <v>278</v>
      </c>
      <c r="AQ33" s="197">
        <v>281</v>
      </c>
      <c r="AR33" s="197">
        <v>285</v>
      </c>
      <c r="AS33" s="197">
        <v>288</v>
      </c>
      <c r="AT33" s="197">
        <v>292</v>
      </c>
      <c r="AU33" s="197">
        <v>295</v>
      </c>
      <c r="AV33" s="197">
        <v>299</v>
      </c>
      <c r="AW33" s="197">
        <v>303</v>
      </c>
      <c r="AY33" s="196" t="s">
        <v>138</v>
      </c>
      <c r="AZ33" s="202">
        <v>1580</v>
      </c>
      <c r="BA33" s="202">
        <v>1602</v>
      </c>
      <c r="BB33" s="202">
        <v>1624</v>
      </c>
      <c r="BC33" s="202">
        <v>1647</v>
      </c>
      <c r="BD33" s="202">
        <v>1670</v>
      </c>
      <c r="BE33" s="202">
        <v>1693</v>
      </c>
      <c r="BF33" s="202">
        <v>1716</v>
      </c>
      <c r="BG33" s="202">
        <v>1739</v>
      </c>
      <c r="BH33" s="202">
        <v>1763</v>
      </c>
      <c r="BI33" s="202">
        <v>1786</v>
      </c>
      <c r="BJ33" s="202">
        <v>1810</v>
      </c>
      <c r="BK33" s="202">
        <v>1834</v>
      </c>
    </row>
    <row r="34" spans="17:63" ht="15" hidden="1">
      <c r="Q34" s="113">
        <v>30987</v>
      </c>
      <c r="R34" s="85">
        <v>12</v>
      </c>
      <c r="S34" s="98">
        <f t="shared" si="1"/>
        <v>36465</v>
      </c>
      <c r="T34" s="98">
        <f t="shared" si="2"/>
        <v>36830</v>
      </c>
      <c r="U34" s="85">
        <f t="shared" si="3"/>
        <v>12</v>
      </c>
      <c r="V34" s="211">
        <f t="shared" si="6"/>
        <v>12</v>
      </c>
      <c r="X34" s="210">
        <f t="shared" si="5"/>
        <v>134.19</v>
      </c>
      <c r="AK34" s="196" t="s">
        <v>138</v>
      </c>
      <c r="AL34" s="197">
        <v>306</v>
      </c>
      <c r="AM34" s="197">
        <v>310</v>
      </c>
      <c r="AN34" s="197">
        <v>313</v>
      </c>
      <c r="AO34" s="197">
        <v>317</v>
      </c>
      <c r="AP34" s="197">
        <v>321</v>
      </c>
      <c r="AQ34" s="197">
        <v>325</v>
      </c>
      <c r="AR34" s="197">
        <v>328</v>
      </c>
      <c r="AS34" s="197">
        <v>332</v>
      </c>
      <c r="AT34" s="197">
        <v>336</v>
      </c>
      <c r="AU34" s="197">
        <v>340</v>
      </c>
      <c r="AV34" s="197">
        <v>344</v>
      </c>
      <c r="AW34" s="197">
        <v>348</v>
      </c>
      <c r="AY34" s="196" t="s">
        <v>139</v>
      </c>
      <c r="AZ34" s="202">
        <v>1857</v>
      </c>
      <c r="BA34" s="202">
        <v>1879</v>
      </c>
      <c r="BB34" s="202">
        <v>1903</v>
      </c>
      <c r="BC34" s="202">
        <v>1926</v>
      </c>
      <c r="BD34" s="202">
        <v>1949</v>
      </c>
      <c r="BE34" s="202">
        <v>1972</v>
      </c>
      <c r="BF34" s="202">
        <v>1996</v>
      </c>
      <c r="BG34" s="202">
        <v>2020</v>
      </c>
      <c r="BH34" s="202">
        <v>2044</v>
      </c>
      <c r="BI34" s="202">
        <v>2068</v>
      </c>
      <c r="BJ34" s="202">
        <v>2092</v>
      </c>
      <c r="BK34" s="202">
        <v>2117</v>
      </c>
    </row>
    <row r="35" spans="17:63" ht="15" hidden="1">
      <c r="Q35" s="113">
        <v>34639</v>
      </c>
      <c r="R35" s="85">
        <v>12</v>
      </c>
      <c r="S35" s="98">
        <f>T34+1</f>
        <v>36831</v>
      </c>
      <c r="T35" s="98">
        <f t="shared" si="2"/>
        <v>37195</v>
      </c>
      <c r="U35" s="85">
        <f>ROUND((T35-S35)/30,0)</f>
        <v>12</v>
      </c>
      <c r="V35" s="209">
        <f t="shared" si="6"/>
        <v>11</v>
      </c>
      <c r="X35" s="85">
        <f t="shared" si="5"/>
        <v>133.5075</v>
      </c>
      <c r="AK35" s="196" t="s">
        <v>139</v>
      </c>
      <c r="AL35" s="197">
        <v>351</v>
      </c>
      <c r="AM35" s="197">
        <v>355</v>
      </c>
      <c r="AN35" s="197">
        <v>358</v>
      </c>
      <c r="AO35" s="197">
        <v>362</v>
      </c>
      <c r="AP35" s="197">
        <v>365</v>
      </c>
      <c r="AQ35" s="197">
        <v>369</v>
      </c>
      <c r="AR35" s="197">
        <v>373</v>
      </c>
      <c r="AS35" s="197">
        <v>376</v>
      </c>
      <c r="AT35" s="197">
        <v>380</v>
      </c>
      <c r="AU35" s="197">
        <v>384</v>
      </c>
      <c r="AV35" s="197">
        <v>387</v>
      </c>
      <c r="AW35" s="197">
        <v>391</v>
      </c>
      <c r="AY35" s="196" t="s">
        <v>140</v>
      </c>
      <c r="AZ35" s="202">
        <v>2141</v>
      </c>
      <c r="BA35" s="202">
        <v>2166</v>
      </c>
      <c r="BB35" s="202">
        <v>2191</v>
      </c>
      <c r="BC35" s="202">
        <v>2216</v>
      </c>
      <c r="BD35" s="202">
        <v>2241</v>
      </c>
      <c r="BE35" s="202">
        <v>2267</v>
      </c>
      <c r="BF35" s="202">
        <v>2292</v>
      </c>
      <c r="BG35" s="202">
        <v>2318</v>
      </c>
      <c r="BH35" s="202">
        <v>2344</v>
      </c>
      <c r="BI35" s="202">
        <v>2370</v>
      </c>
      <c r="BJ35" s="202">
        <v>2396</v>
      </c>
      <c r="BK35" s="202">
        <v>2423</v>
      </c>
    </row>
    <row r="36" spans="17:63" ht="15" hidden="1">
      <c r="Q36" s="113">
        <v>35004</v>
      </c>
      <c r="R36" s="85">
        <v>12</v>
      </c>
      <c r="S36" s="98">
        <f>T35+1</f>
        <v>37196</v>
      </c>
      <c r="T36" s="98">
        <f t="shared" si="2"/>
        <v>37560</v>
      </c>
      <c r="U36" s="85">
        <f>ROUND((T36-S36)/30,0)</f>
        <v>12</v>
      </c>
      <c r="V36" s="85">
        <f t="shared" si="6"/>
        <v>9.5</v>
      </c>
      <c r="X36" s="85">
        <f t="shared" si="5"/>
        <v>132.48375</v>
      </c>
      <c r="AK36" s="196" t="s">
        <v>140</v>
      </c>
      <c r="AL36" s="197">
        <v>395</v>
      </c>
      <c r="AM36" s="197">
        <v>399</v>
      </c>
      <c r="AN36" s="197">
        <v>403</v>
      </c>
      <c r="AO36" s="197">
        <v>406</v>
      </c>
      <c r="AP36" s="197">
        <v>410</v>
      </c>
      <c r="AQ36" s="197">
        <v>414</v>
      </c>
      <c r="AR36" s="197">
        <v>418</v>
      </c>
      <c r="AS36" s="197">
        <v>422</v>
      </c>
      <c r="AT36" s="197">
        <v>426</v>
      </c>
      <c r="AU36" s="197">
        <v>430</v>
      </c>
      <c r="AV36" s="197">
        <v>434</v>
      </c>
      <c r="AW36" s="197">
        <v>438</v>
      </c>
      <c r="AY36" s="196" t="s">
        <v>141</v>
      </c>
      <c r="AZ36" s="202">
        <v>2449</v>
      </c>
      <c r="BA36" s="202">
        <v>2476</v>
      </c>
      <c r="BB36" s="202">
        <v>2503</v>
      </c>
      <c r="BC36" s="202">
        <v>2530</v>
      </c>
      <c r="BD36" s="202">
        <v>2558</v>
      </c>
      <c r="BE36" s="202">
        <v>2585</v>
      </c>
      <c r="BF36" s="202">
        <v>2613</v>
      </c>
      <c r="BG36" s="202">
        <v>2641</v>
      </c>
      <c r="BH36" s="202">
        <v>2669</v>
      </c>
      <c r="BI36" s="202">
        <v>2697</v>
      </c>
      <c r="BJ36" s="202">
        <v>2725</v>
      </c>
      <c r="BK36" s="202">
        <v>2754</v>
      </c>
    </row>
    <row r="37" spans="17:63" ht="15" hidden="1">
      <c r="Q37" s="113">
        <v>35370</v>
      </c>
      <c r="R37" s="85">
        <v>12</v>
      </c>
      <c r="S37" s="98">
        <f>T36+1</f>
        <v>37561</v>
      </c>
      <c r="T37" s="98">
        <f t="shared" si="2"/>
        <v>37925</v>
      </c>
      <c r="U37" s="85">
        <f>ROUND((T37-S37)/30,0)</f>
        <v>12</v>
      </c>
      <c r="V37" s="85">
        <f t="shared" si="6"/>
        <v>9</v>
      </c>
      <c r="X37" s="85">
        <f t="shared" si="5"/>
        <v>132.1425</v>
      </c>
      <c r="AK37" s="196" t="s">
        <v>141</v>
      </c>
      <c r="AL37" s="197">
        <v>442</v>
      </c>
      <c r="AM37" s="197">
        <v>446</v>
      </c>
      <c r="AN37" s="197">
        <v>451</v>
      </c>
      <c r="AO37" s="197">
        <v>455</v>
      </c>
      <c r="AP37" s="197">
        <v>459</v>
      </c>
      <c r="AQ37" s="197">
        <v>463</v>
      </c>
      <c r="AR37" s="197">
        <v>468</v>
      </c>
      <c r="AS37" s="197">
        <v>472</v>
      </c>
      <c r="AT37" s="197">
        <v>476</v>
      </c>
      <c r="AU37" s="197">
        <v>481</v>
      </c>
      <c r="AV37" s="197">
        <v>485</v>
      </c>
      <c r="AW37" s="197">
        <v>489</v>
      </c>
      <c r="AY37" s="196" t="s">
        <v>142</v>
      </c>
      <c r="AZ37" s="202">
        <v>2783</v>
      </c>
      <c r="BA37" s="202">
        <v>2812</v>
      </c>
      <c r="BB37" s="202">
        <v>2841</v>
      </c>
      <c r="BC37" s="202">
        <v>2871</v>
      </c>
      <c r="BD37" s="202">
        <v>2900</v>
      </c>
      <c r="BE37" s="202">
        <v>2930</v>
      </c>
      <c r="BF37" s="202">
        <v>2960</v>
      </c>
      <c r="BG37" s="202">
        <v>2990</v>
      </c>
      <c r="BH37" s="202">
        <v>3021</v>
      </c>
      <c r="BI37" s="202">
        <v>3051</v>
      </c>
      <c r="BJ37" s="202">
        <v>3082</v>
      </c>
      <c r="BK37" s="202">
        <v>3113</v>
      </c>
    </row>
    <row r="38" spans="17:63" ht="15" hidden="1">
      <c r="Q38" s="113">
        <v>35735</v>
      </c>
      <c r="R38" s="85">
        <v>12</v>
      </c>
      <c r="S38" s="98">
        <f aca="true" t="shared" si="8" ref="S38:S45">T37+1</f>
        <v>37926</v>
      </c>
      <c r="T38" s="98">
        <f t="shared" si="2"/>
        <v>38291</v>
      </c>
      <c r="U38" s="85">
        <f aca="true" t="shared" si="9" ref="U38:U47">ROUND((T38-S38)/30,0)</f>
        <v>12</v>
      </c>
      <c r="V38" s="85">
        <f t="shared" si="6"/>
        <v>9</v>
      </c>
      <c r="X38" s="85">
        <f aca="true" t="shared" si="10" ref="X38:X48">(U38*$T$17)+$T$17*V38*U38*(U38+1)/2/12/100</f>
        <v>132.1425</v>
      </c>
      <c r="AK38" s="196" t="s">
        <v>142</v>
      </c>
      <c r="AL38" s="197">
        <v>494</v>
      </c>
      <c r="AM38" s="197">
        <v>498</v>
      </c>
      <c r="AN38" s="197">
        <v>503</v>
      </c>
      <c r="AO38" s="197">
        <v>507</v>
      </c>
      <c r="AP38" s="197">
        <v>512</v>
      </c>
      <c r="AQ38" s="197">
        <v>516</v>
      </c>
      <c r="AR38" s="197">
        <v>521</v>
      </c>
      <c r="AS38" s="197">
        <v>526</v>
      </c>
      <c r="AT38" s="197">
        <v>530</v>
      </c>
      <c r="AU38" s="197">
        <v>535</v>
      </c>
      <c r="AV38" s="197">
        <v>540</v>
      </c>
      <c r="AW38" s="197">
        <v>545</v>
      </c>
      <c r="AY38" s="196" t="s">
        <v>143</v>
      </c>
      <c r="AZ38" s="202">
        <v>3144</v>
      </c>
      <c r="BA38" s="202">
        <v>3176</v>
      </c>
      <c r="BB38" s="202">
        <v>3207</v>
      </c>
      <c r="BC38" s="202">
        <v>3239</v>
      </c>
      <c r="BD38" s="202">
        <v>3271</v>
      </c>
      <c r="BE38" s="202">
        <v>3304</v>
      </c>
      <c r="BF38" s="202">
        <v>3336</v>
      </c>
      <c r="BG38" s="202">
        <v>3369</v>
      </c>
      <c r="BH38" s="202">
        <v>3402</v>
      </c>
      <c r="BI38" s="202">
        <v>3435</v>
      </c>
      <c r="BJ38" s="202">
        <v>3468</v>
      </c>
      <c r="BK38" s="202">
        <v>3502</v>
      </c>
    </row>
    <row r="39" spans="17:63" ht="15" hidden="1">
      <c r="Q39" s="113">
        <v>36100</v>
      </c>
      <c r="R39" s="85">
        <v>12</v>
      </c>
      <c r="S39" s="98">
        <f t="shared" si="8"/>
        <v>38292</v>
      </c>
      <c r="T39" s="98">
        <f t="shared" si="2"/>
        <v>38656</v>
      </c>
      <c r="U39" s="85">
        <f t="shared" si="9"/>
        <v>12</v>
      </c>
      <c r="V39" s="85">
        <f t="shared" si="6"/>
        <v>8</v>
      </c>
      <c r="X39" s="85">
        <f t="shared" si="10"/>
        <v>131.46</v>
      </c>
      <c r="AK39" s="196" t="s">
        <v>143</v>
      </c>
      <c r="AL39" s="197">
        <v>549</v>
      </c>
      <c r="AM39" s="197">
        <v>554</v>
      </c>
      <c r="AN39" s="197">
        <v>559</v>
      </c>
      <c r="AO39" s="197">
        <v>564</v>
      </c>
      <c r="AP39" s="197">
        <v>569</v>
      </c>
      <c r="AQ39" s="197">
        <v>574</v>
      </c>
      <c r="AR39" s="197">
        <v>579</v>
      </c>
      <c r="AS39" s="197">
        <v>584</v>
      </c>
      <c r="AT39" s="197">
        <v>589</v>
      </c>
      <c r="AU39" s="197">
        <v>594</v>
      </c>
      <c r="AV39" s="197">
        <v>599</v>
      </c>
      <c r="AW39" s="197">
        <v>604</v>
      </c>
      <c r="AY39" s="196" t="s">
        <v>144</v>
      </c>
      <c r="AZ39" s="202">
        <v>3536</v>
      </c>
      <c r="BA39" s="202">
        <v>3569</v>
      </c>
      <c r="BB39" s="202">
        <v>3604</v>
      </c>
      <c r="BC39" s="202">
        <v>3638</v>
      </c>
      <c r="BD39" s="202">
        <v>3673</v>
      </c>
      <c r="BE39" s="202">
        <v>3708</v>
      </c>
      <c r="BF39" s="202">
        <v>3743</v>
      </c>
      <c r="BG39" s="202">
        <v>3778</v>
      </c>
      <c r="BH39" s="202">
        <v>3814</v>
      </c>
      <c r="BI39" s="202">
        <v>3850</v>
      </c>
      <c r="BJ39" s="202">
        <v>3886</v>
      </c>
      <c r="BK39" s="202">
        <v>3923</v>
      </c>
    </row>
    <row r="40" spans="17:63" ht="15" hidden="1">
      <c r="Q40" s="113">
        <v>36465</v>
      </c>
      <c r="R40" s="85">
        <v>12</v>
      </c>
      <c r="S40" s="98">
        <f t="shared" si="8"/>
        <v>38657</v>
      </c>
      <c r="T40" s="98">
        <f t="shared" si="2"/>
        <v>39021</v>
      </c>
      <c r="U40" s="85">
        <f t="shared" si="9"/>
        <v>12</v>
      </c>
      <c r="V40" s="85">
        <f t="shared" si="6"/>
        <v>8</v>
      </c>
      <c r="X40" s="85">
        <f t="shared" si="10"/>
        <v>131.46</v>
      </c>
      <c r="AK40" s="196" t="s">
        <v>144</v>
      </c>
      <c r="AL40" s="197">
        <v>610</v>
      </c>
      <c r="AM40" s="197">
        <v>615</v>
      </c>
      <c r="AN40" s="197">
        <v>620</v>
      </c>
      <c r="AO40" s="197">
        <v>625</v>
      </c>
      <c r="AP40" s="197">
        <v>631</v>
      </c>
      <c r="AQ40" s="197">
        <v>636</v>
      </c>
      <c r="AR40" s="197">
        <v>642</v>
      </c>
      <c r="AS40" s="197">
        <v>647</v>
      </c>
      <c r="AT40" s="197">
        <v>653</v>
      </c>
      <c r="AU40" s="197">
        <v>658</v>
      </c>
      <c r="AV40" s="197">
        <v>664</v>
      </c>
      <c r="AW40" s="197">
        <v>669</v>
      </c>
      <c r="AY40" s="196" t="s">
        <v>145</v>
      </c>
      <c r="AZ40" s="202">
        <v>3959</v>
      </c>
      <c r="BA40" s="202">
        <v>3996</v>
      </c>
      <c r="BB40" s="202">
        <v>4033</v>
      </c>
      <c r="BC40" s="202">
        <v>4071</v>
      </c>
      <c r="BD40" s="202">
        <v>4108</v>
      </c>
      <c r="BE40" s="202">
        <v>4146</v>
      </c>
      <c r="BF40" s="202">
        <v>4184</v>
      </c>
      <c r="BG40" s="202">
        <v>4222</v>
      </c>
      <c r="BH40" s="202">
        <v>4261</v>
      </c>
      <c r="BI40" s="202">
        <v>4300</v>
      </c>
      <c r="BJ40" s="202">
        <v>4339</v>
      </c>
      <c r="BK40" s="202">
        <v>4378</v>
      </c>
    </row>
    <row r="41" spans="17:63" ht="15" hidden="1">
      <c r="Q41" s="113">
        <v>36831</v>
      </c>
      <c r="R41" s="85">
        <v>11</v>
      </c>
      <c r="S41" s="98">
        <f>T40+1</f>
        <v>39022</v>
      </c>
      <c r="T41" s="98">
        <f t="shared" si="2"/>
        <v>39386</v>
      </c>
      <c r="U41" s="85">
        <f t="shared" si="9"/>
        <v>12</v>
      </c>
      <c r="V41" s="85">
        <f t="shared" si="6"/>
        <v>8</v>
      </c>
      <c r="X41" s="85">
        <f t="shared" si="10"/>
        <v>131.46</v>
      </c>
      <c r="AK41" s="196" t="s">
        <v>145</v>
      </c>
      <c r="AL41" s="197">
        <v>675</v>
      </c>
      <c r="AM41" s="197">
        <v>680</v>
      </c>
      <c r="AN41" s="197">
        <v>686</v>
      </c>
      <c r="AO41" s="197">
        <v>692</v>
      </c>
      <c r="AP41" s="197">
        <v>698</v>
      </c>
      <c r="AQ41" s="197">
        <v>704</v>
      </c>
      <c r="AR41" s="197">
        <v>709</v>
      </c>
      <c r="AS41" s="197">
        <v>715</v>
      </c>
      <c r="AT41" s="197">
        <v>721</v>
      </c>
      <c r="AU41" s="197">
        <v>727</v>
      </c>
      <c r="AV41" s="197">
        <v>733</v>
      </c>
      <c r="AW41" s="197">
        <v>739</v>
      </c>
      <c r="AY41" s="196" t="s">
        <v>146</v>
      </c>
      <c r="AZ41" s="202">
        <v>4418</v>
      </c>
      <c r="BA41" s="202">
        <v>4460</v>
      </c>
      <c r="BB41" s="202">
        <v>4503</v>
      </c>
      <c r="BC41" s="202">
        <v>4545</v>
      </c>
      <c r="BD41" s="202">
        <v>4588</v>
      </c>
      <c r="BE41" s="202">
        <v>4632</v>
      </c>
      <c r="BF41" s="202">
        <v>4675</v>
      </c>
      <c r="BG41" s="202">
        <v>4719</v>
      </c>
      <c r="BH41" s="202">
        <v>4763</v>
      </c>
      <c r="BI41" s="202">
        <v>4808</v>
      </c>
      <c r="BJ41" s="202">
        <v>4852</v>
      </c>
      <c r="BK41" s="202">
        <v>4898</v>
      </c>
    </row>
    <row r="42" spans="17:63" ht="15" hidden="1">
      <c r="Q42" s="113">
        <v>37196</v>
      </c>
      <c r="R42" s="85">
        <v>9.5</v>
      </c>
      <c r="S42" s="98">
        <f t="shared" si="8"/>
        <v>39387</v>
      </c>
      <c r="T42" s="98">
        <f t="shared" si="2"/>
        <v>39752</v>
      </c>
      <c r="U42" s="85">
        <f t="shared" si="9"/>
        <v>12</v>
      </c>
      <c r="V42" s="85">
        <f t="shared" si="6"/>
        <v>8</v>
      </c>
      <c r="X42" s="85">
        <f t="shared" si="10"/>
        <v>131.46</v>
      </c>
      <c r="AK42" s="196" t="s">
        <v>146</v>
      </c>
      <c r="AL42" s="197">
        <v>745</v>
      </c>
      <c r="AM42" s="197">
        <v>752</v>
      </c>
      <c r="AN42" s="197">
        <v>759</v>
      </c>
      <c r="AO42" s="197">
        <v>765</v>
      </c>
      <c r="AP42" s="197">
        <v>772</v>
      </c>
      <c r="AQ42" s="197">
        <v>779</v>
      </c>
      <c r="AR42" s="197">
        <v>786</v>
      </c>
      <c r="AS42" s="197">
        <v>792</v>
      </c>
      <c r="AT42" s="197">
        <v>799</v>
      </c>
      <c r="AU42" s="197">
        <v>806</v>
      </c>
      <c r="AV42" s="197">
        <v>813</v>
      </c>
      <c r="AW42" s="197">
        <v>821</v>
      </c>
      <c r="AY42" s="196" t="s">
        <v>242</v>
      </c>
      <c r="AZ42" s="202">
        <v>4943</v>
      </c>
      <c r="BA42" s="202">
        <v>4989</v>
      </c>
      <c r="BB42" s="202">
        <v>5035</v>
      </c>
      <c r="BC42" s="202">
        <v>5082</v>
      </c>
      <c r="BD42" s="202">
        <v>5128</v>
      </c>
      <c r="BE42" s="203">
        <v>5176</v>
      </c>
      <c r="BF42" s="203">
        <v>5224</v>
      </c>
      <c r="BG42" s="203">
        <v>5272</v>
      </c>
      <c r="BH42" s="203">
        <v>5320</v>
      </c>
      <c r="BI42" s="203">
        <v>5369</v>
      </c>
      <c r="BJ42" s="203">
        <v>5418</v>
      </c>
      <c r="BK42" s="203">
        <v>5468</v>
      </c>
    </row>
    <row r="43" spans="17:63" ht="15" hidden="1">
      <c r="Q43" s="113">
        <v>37561</v>
      </c>
      <c r="R43" s="85">
        <v>9</v>
      </c>
      <c r="S43" s="98">
        <f t="shared" si="8"/>
        <v>39753</v>
      </c>
      <c r="T43" s="98">
        <f t="shared" si="2"/>
        <v>40117</v>
      </c>
      <c r="U43" s="85">
        <f t="shared" si="9"/>
        <v>12</v>
      </c>
      <c r="V43" s="85">
        <f t="shared" si="6"/>
        <v>8</v>
      </c>
      <c r="X43" s="85">
        <f t="shared" si="10"/>
        <v>131.46</v>
      </c>
      <c r="AK43" s="196" t="s">
        <v>242</v>
      </c>
      <c r="AL43" s="197">
        <v>828</v>
      </c>
      <c r="AM43" s="197">
        <v>835</v>
      </c>
      <c r="AN43" s="197">
        <v>842</v>
      </c>
      <c r="AO43" s="197">
        <v>849</v>
      </c>
      <c r="AP43" s="197">
        <v>857</v>
      </c>
      <c r="AQ43" s="199">
        <v>864</v>
      </c>
      <c r="AR43" s="199">
        <v>872</v>
      </c>
      <c r="AS43" s="199">
        <v>879</v>
      </c>
      <c r="AT43" s="199">
        <v>887</v>
      </c>
      <c r="AU43" s="199">
        <v>895</v>
      </c>
      <c r="AV43" s="199">
        <v>902</v>
      </c>
      <c r="AW43" s="199">
        <v>910</v>
      </c>
      <c r="AY43" s="195" t="s">
        <v>314</v>
      </c>
      <c r="AZ43" s="203">
        <v>5518</v>
      </c>
      <c r="BA43" s="203">
        <v>5568</v>
      </c>
      <c r="BB43" s="203">
        <v>5619</v>
      </c>
      <c r="BC43" s="203">
        <v>5670</v>
      </c>
      <c r="BD43" s="203">
        <v>5721</v>
      </c>
      <c r="BE43"/>
      <c r="BF43"/>
      <c r="BG43"/>
      <c r="BH43"/>
      <c r="BI43"/>
      <c r="BJ43"/>
      <c r="BK43"/>
    </row>
    <row r="44" spans="17:49" ht="15" hidden="1">
      <c r="Q44" s="113">
        <v>37926</v>
      </c>
      <c r="R44" s="85">
        <v>9</v>
      </c>
      <c r="S44" s="98">
        <f t="shared" si="8"/>
        <v>40118</v>
      </c>
      <c r="T44" s="98">
        <f t="shared" si="2"/>
        <v>40482</v>
      </c>
      <c r="U44" s="85">
        <f t="shared" si="9"/>
        <v>12</v>
      </c>
      <c r="V44" s="85">
        <f t="shared" si="6"/>
        <v>8</v>
      </c>
      <c r="X44" s="85">
        <f t="shared" si="10"/>
        <v>131.46</v>
      </c>
      <c r="AK44" s="195" t="s">
        <v>314</v>
      </c>
      <c r="AL44" s="199">
        <v>918</v>
      </c>
      <c r="AM44" s="199">
        <v>926</v>
      </c>
      <c r="AN44" s="199">
        <v>934</v>
      </c>
      <c r="AO44" s="199">
        <v>942</v>
      </c>
      <c r="AP44" s="199">
        <v>950</v>
      </c>
      <c r="AQ44"/>
      <c r="AR44"/>
      <c r="AS44"/>
      <c r="AT44"/>
      <c r="AU44"/>
      <c r="AV44"/>
      <c r="AW44"/>
    </row>
    <row r="45" spans="17:63" ht="15" hidden="1">
      <c r="Q45" s="113">
        <v>38292</v>
      </c>
      <c r="R45" s="85">
        <v>8</v>
      </c>
      <c r="S45" s="98">
        <f t="shared" si="8"/>
        <v>40483</v>
      </c>
      <c r="T45" s="98">
        <f t="shared" si="2"/>
        <v>40847</v>
      </c>
      <c r="U45" s="85">
        <f t="shared" si="9"/>
        <v>12</v>
      </c>
      <c r="V45" s="85">
        <f t="shared" si="6"/>
        <v>8</v>
      </c>
      <c r="X45" s="85">
        <f t="shared" si="10"/>
        <v>131.46</v>
      </c>
      <c r="AK45" s="195" t="s">
        <v>148</v>
      </c>
      <c r="AL45" s="196" t="s">
        <v>116</v>
      </c>
      <c r="AM45" s="196" t="s">
        <v>117</v>
      </c>
      <c r="AN45" s="196" t="s">
        <v>118</v>
      </c>
      <c r="AO45" s="196" t="s">
        <v>124</v>
      </c>
      <c r="AP45" s="196" t="s">
        <v>125</v>
      </c>
      <c r="AQ45" s="196" t="s">
        <v>126</v>
      </c>
      <c r="AR45" s="196" t="s">
        <v>119</v>
      </c>
      <c r="AS45" s="196" t="s">
        <v>149</v>
      </c>
      <c r="AT45" s="196" t="s">
        <v>121</v>
      </c>
      <c r="AU45" s="196" t="s">
        <v>122</v>
      </c>
      <c r="AV45" s="196" t="s">
        <v>241</v>
      </c>
      <c r="AW45" s="196" t="s">
        <v>128</v>
      </c>
      <c r="AY45" s="201" t="s">
        <v>123</v>
      </c>
      <c r="AZ45" s="201" t="s">
        <v>116</v>
      </c>
      <c r="BA45" s="201" t="s">
        <v>117</v>
      </c>
      <c r="BB45" s="201" t="s">
        <v>118</v>
      </c>
      <c r="BC45" s="201" t="s">
        <v>124</v>
      </c>
      <c r="BD45" s="201" t="s">
        <v>125</v>
      </c>
      <c r="BE45" s="201" t="s">
        <v>126</v>
      </c>
      <c r="BF45" s="201" t="s">
        <v>119</v>
      </c>
      <c r="BG45" s="201" t="s">
        <v>120</v>
      </c>
      <c r="BH45" s="201" t="s">
        <v>121</v>
      </c>
      <c r="BI45" s="201" t="s">
        <v>122</v>
      </c>
      <c r="BJ45" s="201" t="s">
        <v>127</v>
      </c>
      <c r="BK45" s="201" t="s">
        <v>128</v>
      </c>
    </row>
    <row r="46" spans="17:63" ht="15" hidden="1">
      <c r="Q46" s="113">
        <v>38657</v>
      </c>
      <c r="R46" s="85">
        <v>8</v>
      </c>
      <c r="S46" s="98">
        <f>T45+1</f>
        <v>40848</v>
      </c>
      <c r="T46" s="98">
        <f>DATE(YEAR(S46),12,31)</f>
        <v>40908</v>
      </c>
      <c r="U46" s="85">
        <f t="shared" si="9"/>
        <v>2</v>
      </c>
      <c r="V46" s="85">
        <f t="shared" si="6"/>
        <v>8</v>
      </c>
      <c r="X46" s="85">
        <f t="shared" si="10"/>
        <v>21.21</v>
      </c>
      <c r="AK46" s="196" t="s">
        <v>129</v>
      </c>
      <c r="AL46" s="197">
        <v>3</v>
      </c>
      <c r="AM46" s="197">
        <v>6</v>
      </c>
      <c r="AN46" s="197">
        <v>9</v>
      </c>
      <c r="AO46" s="197">
        <v>11</v>
      </c>
      <c r="AP46" s="197">
        <v>14</v>
      </c>
      <c r="AQ46" s="197">
        <v>17</v>
      </c>
      <c r="AR46" s="197">
        <v>20</v>
      </c>
      <c r="AS46" s="197">
        <v>23</v>
      </c>
      <c r="AT46" s="197">
        <v>27</v>
      </c>
      <c r="AU46" s="197">
        <v>30</v>
      </c>
      <c r="AV46" s="197">
        <v>33</v>
      </c>
      <c r="AW46" s="197">
        <v>36</v>
      </c>
      <c r="AY46" s="196" t="s">
        <v>131</v>
      </c>
      <c r="AZ46" s="202">
        <v>11</v>
      </c>
      <c r="BA46" s="202">
        <v>21</v>
      </c>
      <c r="BB46" s="202">
        <v>32</v>
      </c>
      <c r="BC46" s="202">
        <v>43</v>
      </c>
      <c r="BD46" s="202">
        <v>54</v>
      </c>
      <c r="BE46" s="202">
        <v>65</v>
      </c>
      <c r="BF46" s="202">
        <v>76</v>
      </c>
      <c r="BG46" s="202">
        <v>87</v>
      </c>
      <c r="BH46" s="202">
        <v>98</v>
      </c>
      <c r="BI46" s="202">
        <v>110</v>
      </c>
      <c r="BJ46" s="202">
        <v>121</v>
      </c>
      <c r="BK46" s="202">
        <v>133</v>
      </c>
    </row>
    <row r="47" spans="17:63" ht="15" hidden="1">
      <c r="Q47" s="113">
        <v>39022</v>
      </c>
      <c r="R47" s="85">
        <v>8</v>
      </c>
      <c r="S47" s="98">
        <f>T46+1</f>
        <v>40909</v>
      </c>
      <c r="T47" s="98">
        <f>DATE(YEAR(S47),3,31)</f>
        <v>40999</v>
      </c>
      <c r="U47" s="85">
        <f t="shared" si="9"/>
        <v>3</v>
      </c>
      <c r="V47" s="85">
        <f t="shared" si="6"/>
        <v>8.6</v>
      </c>
      <c r="X47" s="85">
        <f t="shared" si="10"/>
        <v>31.9515</v>
      </c>
      <c r="AK47" s="196" t="s">
        <v>130</v>
      </c>
      <c r="AL47" s="197">
        <v>39</v>
      </c>
      <c r="AM47" s="197">
        <v>42</v>
      </c>
      <c r="AN47" s="197">
        <v>46</v>
      </c>
      <c r="AO47" s="197">
        <v>49</v>
      </c>
      <c r="AP47" s="197">
        <v>52</v>
      </c>
      <c r="AQ47" s="197">
        <v>55</v>
      </c>
      <c r="AR47" s="197">
        <v>59</v>
      </c>
      <c r="AS47" s="197">
        <v>62</v>
      </c>
      <c r="AT47" s="197">
        <v>66</v>
      </c>
      <c r="AU47" s="197">
        <v>69</v>
      </c>
      <c r="AV47" s="197">
        <v>73</v>
      </c>
      <c r="AW47" s="197">
        <v>76</v>
      </c>
      <c r="AY47" s="196" t="s">
        <v>132</v>
      </c>
      <c r="AZ47" s="202">
        <v>145</v>
      </c>
      <c r="BA47" s="202">
        <v>157</v>
      </c>
      <c r="BB47" s="202">
        <v>169</v>
      </c>
      <c r="BC47" s="202">
        <v>181</v>
      </c>
      <c r="BD47" s="202">
        <v>193</v>
      </c>
      <c r="BE47" s="202">
        <v>206</v>
      </c>
      <c r="BF47" s="202">
        <v>218</v>
      </c>
      <c r="BG47" s="202">
        <v>231</v>
      </c>
      <c r="BH47" s="202">
        <v>244</v>
      </c>
      <c r="BI47" s="202">
        <v>257</v>
      </c>
      <c r="BJ47" s="202">
        <v>270</v>
      </c>
      <c r="BK47" s="202">
        <v>283</v>
      </c>
    </row>
    <row r="48" spans="17:63" ht="15" hidden="1">
      <c r="Q48" s="113">
        <v>39387</v>
      </c>
      <c r="R48" s="85">
        <v>8</v>
      </c>
      <c r="S48" s="98">
        <f>T47+1</f>
        <v>41000</v>
      </c>
      <c r="T48" s="98">
        <f>DATE(YEAR(S48)+1,3,31)</f>
        <v>41364</v>
      </c>
      <c r="U48" s="85">
        <f>ROUND((T48-S48)/30,0)</f>
        <v>12</v>
      </c>
      <c r="V48" s="85">
        <f t="shared" si="6"/>
        <v>8.8</v>
      </c>
      <c r="X48" s="85">
        <f t="shared" si="10"/>
        <v>132.006</v>
      </c>
      <c r="AK48" s="196" t="s">
        <v>131</v>
      </c>
      <c r="AL48" s="197">
        <v>80</v>
      </c>
      <c r="AM48" s="197">
        <v>84</v>
      </c>
      <c r="AN48" s="197">
        <v>87</v>
      </c>
      <c r="AO48" s="197">
        <v>91</v>
      </c>
      <c r="AP48" s="197">
        <v>95</v>
      </c>
      <c r="AQ48" s="197">
        <v>98</v>
      </c>
      <c r="AR48" s="197">
        <v>102</v>
      </c>
      <c r="AS48" s="197">
        <v>106</v>
      </c>
      <c r="AT48" s="197">
        <v>110</v>
      </c>
      <c r="AU48" s="197">
        <v>114</v>
      </c>
      <c r="AV48" s="197">
        <v>118</v>
      </c>
      <c r="AW48" s="197">
        <v>122</v>
      </c>
      <c r="AY48" s="196" t="s">
        <v>133</v>
      </c>
      <c r="AZ48" s="202">
        <v>296</v>
      </c>
      <c r="BA48" s="202">
        <v>310</v>
      </c>
      <c r="BB48" s="202">
        <v>323</v>
      </c>
      <c r="BC48" s="202">
        <v>337</v>
      </c>
      <c r="BD48" s="202">
        <v>351</v>
      </c>
      <c r="BE48" s="202">
        <v>365</v>
      </c>
      <c r="BF48" s="202">
        <v>379</v>
      </c>
      <c r="BG48" s="202">
        <v>393</v>
      </c>
      <c r="BH48" s="202">
        <v>407</v>
      </c>
      <c r="BI48" s="202">
        <v>422</v>
      </c>
      <c r="BJ48" s="202">
        <v>437</v>
      </c>
      <c r="BK48" s="202">
        <v>451</v>
      </c>
    </row>
    <row r="49" spans="17:63" ht="15" hidden="1">
      <c r="Q49" s="113">
        <v>39753</v>
      </c>
      <c r="R49" s="85">
        <v>8</v>
      </c>
      <c r="S49" s="98">
        <f>T48+1</f>
        <v>41365</v>
      </c>
      <c r="T49" s="98">
        <f>DATE(YEAR(S49)+1,3,31)</f>
        <v>41729</v>
      </c>
      <c r="U49" s="85">
        <f>ROUND((T49-S49)/30,0)</f>
        <v>12</v>
      </c>
      <c r="V49" s="85">
        <f t="shared" si="6"/>
        <v>8.7</v>
      </c>
      <c r="X49" s="85">
        <f>(U49*$T$17)+$T$17*V49*U49*(U49+1)/2/12/100</f>
        <v>131.93775</v>
      </c>
      <c r="AK49" s="196" t="s">
        <v>132</v>
      </c>
      <c r="AL49" s="197">
        <v>126</v>
      </c>
      <c r="AM49" s="197">
        <v>130</v>
      </c>
      <c r="AN49" s="197">
        <v>134</v>
      </c>
      <c r="AO49" s="197">
        <v>138</v>
      </c>
      <c r="AP49" s="197">
        <v>142</v>
      </c>
      <c r="AQ49" s="197">
        <v>147</v>
      </c>
      <c r="AR49" s="197">
        <v>151</v>
      </c>
      <c r="AS49" s="197">
        <v>155</v>
      </c>
      <c r="AT49" s="197">
        <v>160</v>
      </c>
      <c r="AU49" s="197">
        <v>164</v>
      </c>
      <c r="AV49" s="197">
        <v>168</v>
      </c>
      <c r="AW49" s="197">
        <v>173</v>
      </c>
      <c r="AY49" s="196" t="s">
        <v>134</v>
      </c>
      <c r="AZ49" s="202">
        <v>466</v>
      </c>
      <c r="BA49" s="202">
        <v>482</v>
      </c>
      <c r="BB49" s="202">
        <v>497</v>
      </c>
      <c r="BC49" s="202">
        <v>512</v>
      </c>
      <c r="BD49" s="202">
        <v>528</v>
      </c>
      <c r="BE49" s="202">
        <v>543</v>
      </c>
      <c r="BF49" s="202">
        <v>559</v>
      </c>
      <c r="BG49" s="202">
        <v>574</v>
      </c>
      <c r="BH49" s="202">
        <v>590</v>
      </c>
      <c r="BI49" s="202">
        <v>601</v>
      </c>
      <c r="BJ49" s="202">
        <v>622</v>
      </c>
      <c r="BK49" s="202">
        <v>638</v>
      </c>
    </row>
    <row r="50" spans="17:63" ht="15" hidden="1">
      <c r="Q50" s="113">
        <v>40118</v>
      </c>
      <c r="R50" s="85">
        <v>8</v>
      </c>
      <c r="S50" s="98"/>
      <c r="T50" s="98"/>
      <c r="AK50" s="196" t="s">
        <v>133</v>
      </c>
      <c r="AL50" s="197">
        <v>177</v>
      </c>
      <c r="AM50" s="197">
        <v>182</v>
      </c>
      <c r="AN50" s="197">
        <v>187</v>
      </c>
      <c r="AO50" s="197">
        <v>191</v>
      </c>
      <c r="AP50" s="197">
        <v>196</v>
      </c>
      <c r="AQ50" s="197">
        <v>201</v>
      </c>
      <c r="AR50" s="197">
        <v>206</v>
      </c>
      <c r="AS50" s="197">
        <v>211</v>
      </c>
      <c r="AT50" s="197">
        <v>216</v>
      </c>
      <c r="AU50" s="197">
        <v>220</v>
      </c>
      <c r="AV50" s="197">
        <v>225</v>
      </c>
      <c r="AW50" s="197">
        <v>231</v>
      </c>
      <c r="AY50" s="196" t="s">
        <v>135</v>
      </c>
      <c r="AZ50" s="202">
        <v>654</v>
      </c>
      <c r="BA50" s="202">
        <v>671</v>
      </c>
      <c r="BB50" s="202">
        <v>688</v>
      </c>
      <c r="BC50" s="202">
        <v>704</v>
      </c>
      <c r="BD50" s="202">
        <v>721</v>
      </c>
      <c r="BE50" s="202">
        <v>737</v>
      </c>
      <c r="BF50" s="202">
        <v>754</v>
      </c>
      <c r="BG50" s="202">
        <v>770</v>
      </c>
      <c r="BH50" s="202">
        <v>787</v>
      </c>
      <c r="BI50" s="202">
        <v>803</v>
      </c>
      <c r="BJ50" s="202">
        <v>820</v>
      </c>
      <c r="BK50" s="202">
        <v>837</v>
      </c>
    </row>
    <row r="51" spans="17:63" ht="15" hidden="1">
      <c r="Q51" s="113">
        <v>40483</v>
      </c>
      <c r="R51" s="85">
        <v>8</v>
      </c>
      <c r="AK51" s="196" t="s">
        <v>134</v>
      </c>
      <c r="AL51" s="197">
        <v>236</v>
      </c>
      <c r="AM51" s="197">
        <v>241</v>
      </c>
      <c r="AN51" s="197">
        <v>246</v>
      </c>
      <c r="AO51" s="197">
        <v>251</v>
      </c>
      <c r="AP51" s="197">
        <v>257</v>
      </c>
      <c r="AQ51" s="197">
        <v>262</v>
      </c>
      <c r="AR51" s="197">
        <v>267</v>
      </c>
      <c r="AS51" s="197">
        <v>272</v>
      </c>
      <c r="AT51" s="197">
        <v>277</v>
      </c>
      <c r="AU51" s="197">
        <v>282</v>
      </c>
      <c r="AV51" s="197">
        <v>287</v>
      </c>
      <c r="AW51" s="197">
        <v>293</v>
      </c>
      <c r="AY51" s="196" t="s">
        <v>136</v>
      </c>
      <c r="AZ51" s="202">
        <v>854</v>
      </c>
      <c r="BA51" s="202">
        <v>871</v>
      </c>
      <c r="BB51" s="202">
        <v>889</v>
      </c>
      <c r="BC51" s="202">
        <v>906</v>
      </c>
      <c r="BD51" s="202">
        <v>924</v>
      </c>
      <c r="BE51" s="202">
        <v>941</v>
      </c>
      <c r="BF51" s="202">
        <v>959</v>
      </c>
      <c r="BG51" s="202">
        <v>976</v>
      </c>
      <c r="BH51" s="202">
        <v>994</v>
      </c>
      <c r="BI51" s="202">
        <v>1012</v>
      </c>
      <c r="BJ51" s="202">
        <v>1030</v>
      </c>
      <c r="BK51" s="202">
        <v>1048</v>
      </c>
    </row>
    <row r="52" spans="17:63" ht="15" hidden="1">
      <c r="Q52" s="113">
        <v>40848</v>
      </c>
      <c r="R52" s="85">
        <v>8</v>
      </c>
      <c r="AK52" s="196" t="s">
        <v>135</v>
      </c>
      <c r="AL52" s="197">
        <v>298</v>
      </c>
      <c r="AM52" s="197">
        <v>303</v>
      </c>
      <c r="AN52" s="197">
        <v>308</v>
      </c>
      <c r="AO52" s="197">
        <v>314</v>
      </c>
      <c r="AP52" s="197">
        <v>319</v>
      </c>
      <c r="AQ52" s="197">
        <v>324</v>
      </c>
      <c r="AR52" s="197">
        <v>329</v>
      </c>
      <c r="AS52" s="197">
        <v>334</v>
      </c>
      <c r="AT52" s="197">
        <v>339</v>
      </c>
      <c r="AU52" s="197">
        <v>343</v>
      </c>
      <c r="AV52" s="197">
        <v>348</v>
      </c>
      <c r="AW52" s="197">
        <v>353</v>
      </c>
      <c r="AY52" s="196" t="s">
        <v>137</v>
      </c>
      <c r="AZ52" s="202">
        <v>1066</v>
      </c>
      <c r="BA52" s="202">
        <v>1085</v>
      </c>
      <c r="BB52" s="202">
        <v>1103</v>
      </c>
      <c r="BC52" s="202">
        <v>1122</v>
      </c>
      <c r="BD52" s="202">
        <v>1141</v>
      </c>
      <c r="BE52" s="202">
        <v>1160</v>
      </c>
      <c r="BF52" s="202">
        <v>1179</v>
      </c>
      <c r="BG52" s="202">
        <v>1198</v>
      </c>
      <c r="BH52" s="202">
        <v>1218</v>
      </c>
      <c r="BI52" s="202">
        <v>1237</v>
      </c>
      <c r="BJ52" s="202">
        <v>1257</v>
      </c>
      <c r="BK52" s="202">
        <v>1277</v>
      </c>
    </row>
    <row r="53" spans="17:63" ht="15" hidden="1">
      <c r="Q53" s="113">
        <v>40878</v>
      </c>
      <c r="R53" s="85">
        <v>8.6</v>
      </c>
      <c r="AK53" s="196" t="s">
        <v>136</v>
      </c>
      <c r="AL53" s="197">
        <v>358</v>
      </c>
      <c r="AM53" s="197">
        <v>363</v>
      </c>
      <c r="AN53" s="197">
        <v>368</v>
      </c>
      <c r="AO53" s="197">
        <v>374</v>
      </c>
      <c r="AP53" s="197">
        <v>379</v>
      </c>
      <c r="AQ53" s="197">
        <v>384</v>
      </c>
      <c r="AR53" s="197">
        <v>389</v>
      </c>
      <c r="AS53" s="197">
        <v>394</v>
      </c>
      <c r="AT53" s="197">
        <v>399</v>
      </c>
      <c r="AU53" s="197">
        <v>404</v>
      </c>
      <c r="AV53" s="197">
        <v>409</v>
      </c>
      <c r="AW53" s="197">
        <v>414</v>
      </c>
      <c r="AY53" s="196" t="s">
        <v>138</v>
      </c>
      <c r="AZ53" s="202">
        <v>1297</v>
      </c>
      <c r="BA53" s="202">
        <v>1317</v>
      </c>
      <c r="BB53" s="202">
        <v>1337</v>
      </c>
      <c r="BC53" s="202">
        <v>1358</v>
      </c>
      <c r="BD53" s="202">
        <v>1378</v>
      </c>
      <c r="BE53" s="202">
        <v>1399</v>
      </c>
      <c r="BF53" s="202">
        <v>1420</v>
      </c>
      <c r="BG53" s="202">
        <v>1441</v>
      </c>
      <c r="BH53" s="202">
        <v>1463</v>
      </c>
      <c r="BI53" s="202">
        <v>1484</v>
      </c>
      <c r="BJ53" s="202">
        <v>1505</v>
      </c>
      <c r="BK53" s="202">
        <v>1527</v>
      </c>
    </row>
    <row r="54" spans="17:63" ht="15" hidden="1">
      <c r="Q54" s="113">
        <v>41000</v>
      </c>
      <c r="R54" s="85">
        <v>8.8</v>
      </c>
      <c r="AK54" s="196" t="s">
        <v>137</v>
      </c>
      <c r="AL54" s="197">
        <v>419</v>
      </c>
      <c r="AM54" s="197">
        <v>425</v>
      </c>
      <c r="AN54" s="197">
        <v>430</v>
      </c>
      <c r="AO54" s="197">
        <v>435</v>
      </c>
      <c r="AP54" s="197">
        <v>441</v>
      </c>
      <c r="AQ54" s="197">
        <v>446</v>
      </c>
      <c r="AR54" s="197">
        <v>452</v>
      </c>
      <c r="AS54" s="197">
        <v>457</v>
      </c>
      <c r="AT54" s="197">
        <v>463</v>
      </c>
      <c r="AU54" s="197">
        <v>468</v>
      </c>
      <c r="AV54" s="197">
        <v>474</v>
      </c>
      <c r="AW54" s="197">
        <v>479</v>
      </c>
      <c r="AY54" s="196" t="s">
        <v>139</v>
      </c>
      <c r="AZ54" s="202">
        <v>1548</v>
      </c>
      <c r="BA54" s="202">
        <v>1569</v>
      </c>
      <c r="BB54" s="202">
        <v>1590</v>
      </c>
      <c r="BC54" s="202">
        <v>1611</v>
      </c>
      <c r="BD54" s="202">
        <v>1632</v>
      </c>
      <c r="BE54" s="202">
        <v>1653</v>
      </c>
      <c r="BF54" s="202">
        <v>1675</v>
      </c>
      <c r="BG54" s="202">
        <v>1696</v>
      </c>
      <c r="BH54" s="202">
        <v>1718</v>
      </c>
      <c r="BI54" s="202">
        <v>1740</v>
      </c>
      <c r="BJ54" s="202">
        <v>1762</v>
      </c>
      <c r="BK54" s="202">
        <v>1784</v>
      </c>
    </row>
    <row r="55" spans="17:63" ht="15" hidden="1">
      <c r="Q55" s="113">
        <v>41365</v>
      </c>
      <c r="R55" s="85">
        <v>8.7</v>
      </c>
      <c r="AK55" s="196" t="s">
        <v>138</v>
      </c>
      <c r="AL55" s="197">
        <v>485</v>
      </c>
      <c r="AM55" s="197">
        <v>491</v>
      </c>
      <c r="AN55" s="197">
        <v>497</v>
      </c>
      <c r="AO55" s="197">
        <v>503</v>
      </c>
      <c r="AP55" s="197">
        <v>508</v>
      </c>
      <c r="AQ55" s="197">
        <v>514</v>
      </c>
      <c r="AR55" s="197">
        <v>520</v>
      </c>
      <c r="AS55" s="197">
        <v>526</v>
      </c>
      <c r="AT55" s="197">
        <v>532</v>
      </c>
      <c r="AU55" s="197">
        <v>538</v>
      </c>
      <c r="AV55" s="197">
        <v>544</v>
      </c>
      <c r="AW55" s="197">
        <v>551</v>
      </c>
      <c r="AY55" s="196" t="s">
        <v>140</v>
      </c>
      <c r="AZ55" s="202">
        <v>1807</v>
      </c>
      <c r="BA55" s="202">
        <v>1829</v>
      </c>
      <c r="BB55" s="202">
        <v>1852</v>
      </c>
      <c r="BC55" s="202">
        <v>1875</v>
      </c>
      <c r="BD55" s="202">
        <v>1898</v>
      </c>
      <c r="BE55" s="202">
        <v>1921</v>
      </c>
      <c r="BF55" s="202">
        <v>1944</v>
      </c>
      <c r="BG55" s="202">
        <v>1968</v>
      </c>
      <c r="BH55" s="202">
        <v>1991</v>
      </c>
      <c r="BI55" s="202">
        <v>2015</v>
      </c>
      <c r="BJ55" s="202">
        <v>2039</v>
      </c>
      <c r="BK55" s="202">
        <v>2063</v>
      </c>
    </row>
    <row r="56" spans="37:63" ht="15" hidden="1">
      <c r="AK56" s="196" t="s">
        <v>139</v>
      </c>
      <c r="AL56" s="197">
        <v>556</v>
      </c>
      <c r="AM56" s="197">
        <v>562</v>
      </c>
      <c r="AN56" s="197">
        <v>567</v>
      </c>
      <c r="AO56" s="197">
        <v>573</v>
      </c>
      <c r="AP56" s="197">
        <v>579</v>
      </c>
      <c r="AQ56" s="197">
        <v>585</v>
      </c>
      <c r="AR56" s="197">
        <v>590</v>
      </c>
      <c r="AS56" s="197">
        <v>596</v>
      </c>
      <c r="AT56" s="197">
        <v>602</v>
      </c>
      <c r="AU56" s="197">
        <v>608</v>
      </c>
      <c r="AV56" s="197">
        <v>614</v>
      </c>
      <c r="AW56" s="197">
        <v>620</v>
      </c>
      <c r="AY56" s="196" t="s">
        <v>141</v>
      </c>
      <c r="AZ56" s="202">
        <v>2087</v>
      </c>
      <c r="BA56" s="202">
        <v>2112</v>
      </c>
      <c r="BB56" s="202">
        <v>2136</v>
      </c>
      <c r="BC56" s="202">
        <v>2161</v>
      </c>
      <c r="BD56" s="202">
        <v>2186</v>
      </c>
      <c r="BE56" s="202">
        <v>2211</v>
      </c>
      <c r="BF56" s="202">
        <v>2236</v>
      </c>
      <c r="BG56" s="202">
        <v>2261</v>
      </c>
      <c r="BH56" s="202">
        <v>2287</v>
      </c>
      <c r="BI56" s="202">
        <v>2313</v>
      </c>
      <c r="BJ56" s="202">
        <v>2339</v>
      </c>
      <c r="BK56" s="202">
        <v>2365</v>
      </c>
    </row>
    <row r="57" spans="37:63" ht="15" hidden="1">
      <c r="AK57" s="196" t="s">
        <v>140</v>
      </c>
      <c r="AL57" s="197">
        <v>626</v>
      </c>
      <c r="AM57" s="197">
        <v>632</v>
      </c>
      <c r="AN57" s="197">
        <v>638</v>
      </c>
      <c r="AO57" s="197">
        <v>644</v>
      </c>
      <c r="AP57" s="197">
        <v>650</v>
      </c>
      <c r="AQ57" s="197">
        <v>656</v>
      </c>
      <c r="AR57" s="197">
        <v>663</v>
      </c>
      <c r="AS57" s="197">
        <v>669</v>
      </c>
      <c r="AT57" s="197">
        <v>675</v>
      </c>
      <c r="AU57" s="197">
        <v>682</v>
      </c>
      <c r="AV57" s="197">
        <v>688</v>
      </c>
      <c r="AW57" s="197">
        <v>694</v>
      </c>
      <c r="AY57" s="196" t="s">
        <v>142</v>
      </c>
      <c r="AZ57" s="202">
        <v>2391</v>
      </c>
      <c r="BA57" s="202">
        <v>2417</v>
      </c>
      <c r="BB57" s="202">
        <v>2444</v>
      </c>
      <c r="BC57" s="202">
        <v>2471</v>
      </c>
      <c r="BD57" s="202">
        <v>2498</v>
      </c>
      <c r="BE57" s="202">
        <v>2525</v>
      </c>
      <c r="BF57" s="202">
        <v>2552</v>
      </c>
      <c r="BG57" s="202">
        <v>2580</v>
      </c>
      <c r="BH57" s="202">
        <v>2607</v>
      </c>
      <c r="BI57" s="202">
        <v>2635</v>
      </c>
      <c r="BJ57" s="202">
        <v>2663</v>
      </c>
      <c r="BK57" s="202">
        <v>2691</v>
      </c>
    </row>
    <row r="58" spans="37:63" ht="15" hidden="1">
      <c r="AK58" s="196" t="s">
        <v>141</v>
      </c>
      <c r="AL58" s="197">
        <v>701</v>
      </c>
      <c r="AM58" s="197">
        <v>707</v>
      </c>
      <c r="AN58" s="197">
        <v>714</v>
      </c>
      <c r="AO58" s="197">
        <v>721</v>
      </c>
      <c r="AP58" s="197">
        <v>727</v>
      </c>
      <c r="AQ58" s="197">
        <v>734</v>
      </c>
      <c r="AR58" s="197">
        <v>741</v>
      </c>
      <c r="AS58" s="197">
        <v>748</v>
      </c>
      <c r="AT58" s="197">
        <v>754</v>
      </c>
      <c r="AU58" s="197">
        <v>761</v>
      </c>
      <c r="AV58" s="197">
        <v>768</v>
      </c>
      <c r="AW58" s="197">
        <v>775</v>
      </c>
      <c r="AY58" s="196" t="s">
        <v>143</v>
      </c>
      <c r="AZ58" s="202">
        <v>2720</v>
      </c>
      <c r="BA58" s="202">
        <v>2748</v>
      </c>
      <c r="BB58" s="202">
        <v>2777</v>
      </c>
      <c r="BC58" s="202">
        <v>2806</v>
      </c>
      <c r="BD58" s="202">
        <v>2835</v>
      </c>
      <c r="BE58" s="202">
        <v>2865</v>
      </c>
      <c r="BF58" s="202">
        <v>2894</v>
      </c>
      <c r="BG58" s="202">
        <v>2924</v>
      </c>
      <c r="BH58" s="202">
        <v>2954</v>
      </c>
      <c r="BI58" s="202">
        <v>2984</v>
      </c>
      <c r="BJ58" s="202">
        <v>3014</v>
      </c>
      <c r="BK58" s="202">
        <v>3045</v>
      </c>
    </row>
    <row r="59" spans="37:63" ht="15" hidden="1">
      <c r="AK59" s="196" t="s">
        <v>142</v>
      </c>
      <c r="AL59" s="197">
        <v>782</v>
      </c>
      <c r="AM59" s="197">
        <v>789</v>
      </c>
      <c r="AN59" s="197">
        <v>796</v>
      </c>
      <c r="AO59" s="197">
        <v>804</v>
      </c>
      <c r="AP59" s="197">
        <v>811</v>
      </c>
      <c r="AQ59" s="197">
        <v>818</v>
      </c>
      <c r="AR59" s="197">
        <v>825</v>
      </c>
      <c r="AS59" s="197">
        <v>833</v>
      </c>
      <c r="AT59" s="197">
        <v>840</v>
      </c>
      <c r="AU59" s="197">
        <v>848</v>
      </c>
      <c r="AV59" s="197">
        <v>855</v>
      </c>
      <c r="AW59" s="197">
        <v>863</v>
      </c>
      <c r="AY59" s="196" t="s">
        <v>144</v>
      </c>
      <c r="AZ59" s="202">
        <v>3076</v>
      </c>
      <c r="BA59" s="202">
        <v>3107</v>
      </c>
      <c r="BB59" s="202">
        <v>3138</v>
      </c>
      <c r="BC59" s="202">
        <v>3169</v>
      </c>
      <c r="BD59" s="202">
        <v>3201</v>
      </c>
      <c r="BE59" s="202">
        <v>3233</v>
      </c>
      <c r="BF59" s="202">
        <v>3265</v>
      </c>
      <c r="BG59" s="202">
        <v>3297</v>
      </c>
      <c r="BH59" s="202">
        <v>3330</v>
      </c>
      <c r="BI59" s="202">
        <v>3362</v>
      </c>
      <c r="BJ59" s="202">
        <v>3395</v>
      </c>
      <c r="BK59" s="202">
        <v>3428</v>
      </c>
    </row>
    <row r="60" spans="37:63" ht="15" hidden="1">
      <c r="AK60" s="196" t="s">
        <v>143</v>
      </c>
      <c r="AL60" s="197">
        <v>870</v>
      </c>
      <c r="AM60" s="197">
        <v>878</v>
      </c>
      <c r="AN60" s="197">
        <v>886</v>
      </c>
      <c r="AO60" s="197">
        <v>893</v>
      </c>
      <c r="AP60" s="197">
        <v>901</v>
      </c>
      <c r="AQ60" s="197">
        <v>909</v>
      </c>
      <c r="AR60" s="197">
        <v>917</v>
      </c>
      <c r="AS60" s="197">
        <v>925</v>
      </c>
      <c r="AT60" s="197">
        <v>933</v>
      </c>
      <c r="AU60" s="197">
        <v>941</v>
      </c>
      <c r="AV60" s="197">
        <v>949</v>
      </c>
      <c r="AW60" s="197">
        <v>957</v>
      </c>
      <c r="AY60" s="196" t="s">
        <v>145</v>
      </c>
      <c r="AZ60" s="202">
        <v>3461</v>
      </c>
      <c r="BA60" s="202">
        <v>3495</v>
      </c>
      <c r="BB60" s="202">
        <v>3529</v>
      </c>
      <c r="BC60" s="202">
        <v>3563</v>
      </c>
      <c r="BD60" s="202">
        <v>3597</v>
      </c>
      <c r="BE60" s="202">
        <v>3631</v>
      </c>
      <c r="BF60" s="202">
        <v>3666</v>
      </c>
      <c r="BG60" s="202">
        <v>3701</v>
      </c>
      <c r="BH60" s="202">
        <v>3736</v>
      </c>
      <c r="BI60" s="202">
        <v>3771</v>
      </c>
      <c r="BJ60" s="202">
        <v>3807</v>
      </c>
      <c r="BK60" s="202">
        <v>3843</v>
      </c>
    </row>
    <row r="61" spans="37:63" ht="15" hidden="1">
      <c r="AK61" s="196" t="s">
        <v>144</v>
      </c>
      <c r="AL61" s="197">
        <v>966</v>
      </c>
      <c r="AM61" s="197">
        <v>974</v>
      </c>
      <c r="AN61" s="197">
        <v>982</v>
      </c>
      <c r="AO61" s="197">
        <v>991</v>
      </c>
      <c r="AP61" s="197">
        <v>999</v>
      </c>
      <c r="AQ61" s="197">
        <v>1008</v>
      </c>
      <c r="AR61" s="197">
        <v>1016</v>
      </c>
      <c r="AS61" s="197">
        <v>1025</v>
      </c>
      <c r="AT61" s="197">
        <v>1034</v>
      </c>
      <c r="AU61" s="197">
        <v>1042</v>
      </c>
      <c r="AV61" s="197">
        <v>1051</v>
      </c>
      <c r="AW61" s="197">
        <v>1060</v>
      </c>
      <c r="AY61" s="196" t="s">
        <v>146</v>
      </c>
      <c r="AZ61" s="202">
        <v>3879</v>
      </c>
      <c r="BA61" s="202">
        <v>3917</v>
      </c>
      <c r="BB61" s="202">
        <v>3956</v>
      </c>
      <c r="BC61" s="202">
        <v>3995</v>
      </c>
      <c r="BD61" s="202">
        <v>4033</v>
      </c>
      <c r="BE61" s="202">
        <v>4073</v>
      </c>
      <c r="BF61" s="202">
        <v>4113</v>
      </c>
      <c r="BG61" s="202">
        <v>4152</v>
      </c>
      <c r="BH61" s="202">
        <v>4193</v>
      </c>
      <c r="BI61" s="202">
        <v>4233</v>
      </c>
      <c r="BJ61" s="202">
        <v>4274</v>
      </c>
      <c r="BK61" s="202">
        <v>4315</v>
      </c>
    </row>
    <row r="62" spans="37:63" ht="15" hidden="1">
      <c r="AK62" s="196" t="s">
        <v>145</v>
      </c>
      <c r="AL62" s="197">
        <v>1069</v>
      </c>
      <c r="AM62" s="197">
        <v>1078</v>
      </c>
      <c r="AN62" s="197">
        <v>1087</v>
      </c>
      <c r="AO62" s="197">
        <v>1096</v>
      </c>
      <c r="AP62" s="197">
        <v>1105</v>
      </c>
      <c r="AQ62" s="197">
        <v>1114</v>
      </c>
      <c r="AR62" s="197">
        <v>1123</v>
      </c>
      <c r="AS62" s="197">
        <v>1133</v>
      </c>
      <c r="AT62" s="197">
        <v>1142</v>
      </c>
      <c r="AU62" s="197">
        <v>1152</v>
      </c>
      <c r="AV62" s="197">
        <v>1161</v>
      </c>
      <c r="AW62" s="197">
        <v>1171</v>
      </c>
      <c r="AY62" s="196" t="s">
        <v>242</v>
      </c>
      <c r="AZ62" s="202">
        <v>4356</v>
      </c>
      <c r="BA62" s="202">
        <v>4398</v>
      </c>
      <c r="BB62" s="202">
        <v>4440</v>
      </c>
      <c r="BC62" s="202">
        <v>4482</v>
      </c>
      <c r="BD62" s="202">
        <v>4524</v>
      </c>
      <c r="BE62" s="203">
        <v>4568</v>
      </c>
      <c r="BF62" s="203">
        <v>4611</v>
      </c>
      <c r="BG62" s="203">
        <v>4655</v>
      </c>
      <c r="BH62" s="203">
        <v>4699</v>
      </c>
      <c r="BI62" s="203">
        <v>4743</v>
      </c>
      <c r="BJ62" s="203">
        <v>4788</v>
      </c>
      <c r="BK62" s="203">
        <v>4833</v>
      </c>
    </row>
    <row r="63" spans="37:63" ht="15" hidden="1">
      <c r="AK63" s="196" t="s">
        <v>146</v>
      </c>
      <c r="AL63" s="197">
        <v>1180</v>
      </c>
      <c r="AM63" s="197">
        <v>1191</v>
      </c>
      <c r="AN63" s="197">
        <v>1201</v>
      </c>
      <c r="AO63" s="197">
        <v>1212</v>
      </c>
      <c r="AP63" s="197">
        <v>1223</v>
      </c>
      <c r="AQ63" s="197">
        <v>1233</v>
      </c>
      <c r="AR63" s="197">
        <v>1244</v>
      </c>
      <c r="AS63" s="197">
        <v>1255</v>
      </c>
      <c r="AT63" s="197">
        <v>1266</v>
      </c>
      <c r="AU63" s="197">
        <v>1277</v>
      </c>
      <c r="AV63" s="197">
        <v>1288</v>
      </c>
      <c r="AW63" s="197">
        <v>1300</v>
      </c>
      <c r="AY63" s="195" t="s">
        <v>314</v>
      </c>
      <c r="AZ63" s="203">
        <v>4878</v>
      </c>
      <c r="BA63" s="203">
        <v>4923</v>
      </c>
      <c r="BB63" s="203">
        <v>4970</v>
      </c>
      <c r="BC63" s="203">
        <v>5016</v>
      </c>
      <c r="BD63" s="203">
        <v>5062</v>
      </c>
      <c r="BE63"/>
      <c r="BF63"/>
      <c r="BG63"/>
      <c r="BH63"/>
      <c r="BI63"/>
      <c r="BJ63"/>
      <c r="BK63"/>
    </row>
    <row r="64" spans="37:49" ht="15" hidden="1">
      <c r="AK64" s="196" t="s">
        <v>242</v>
      </c>
      <c r="AL64" s="197">
        <v>1311</v>
      </c>
      <c r="AM64" s="197">
        <v>1322</v>
      </c>
      <c r="AN64" s="197">
        <v>1334</v>
      </c>
      <c r="AO64" s="197">
        <v>1345</v>
      </c>
      <c r="AP64" s="197">
        <v>1357</v>
      </c>
      <c r="AQ64" s="199">
        <v>1368</v>
      </c>
      <c r="AR64" s="199">
        <v>1380</v>
      </c>
      <c r="AS64" s="199">
        <v>1392</v>
      </c>
      <c r="AT64" s="199">
        <v>1404</v>
      </c>
      <c r="AU64" s="199">
        <v>1417</v>
      </c>
      <c r="AV64" s="199">
        <v>1429</v>
      </c>
      <c r="AW64" s="199">
        <v>1441</v>
      </c>
    </row>
    <row r="65" spans="37:49" ht="15" hidden="1">
      <c r="AK65" s="195" t="s">
        <v>314</v>
      </c>
      <c r="AL65" s="199">
        <v>1454</v>
      </c>
      <c r="AM65" s="199">
        <v>1466</v>
      </c>
      <c r="AN65" s="199">
        <v>1479</v>
      </c>
      <c r="AO65" s="199">
        <v>1492</v>
      </c>
      <c r="AP65" s="199">
        <v>1504</v>
      </c>
      <c r="AQ65"/>
      <c r="AR65"/>
      <c r="AS65"/>
      <c r="AT65"/>
      <c r="AU65"/>
      <c r="AV65"/>
      <c r="AW65"/>
    </row>
    <row r="66" spans="37:63" ht="15" hidden="1">
      <c r="AK66" s="195" t="s">
        <v>150</v>
      </c>
      <c r="AL66" s="196" t="s">
        <v>116</v>
      </c>
      <c r="AM66" s="196" t="s">
        <v>117</v>
      </c>
      <c r="AN66" s="196" t="s">
        <v>118</v>
      </c>
      <c r="AO66" s="196" t="s">
        <v>124</v>
      </c>
      <c r="AP66" s="196" t="s">
        <v>125</v>
      </c>
      <c r="AQ66" s="196" t="s">
        <v>126</v>
      </c>
      <c r="AR66" s="196" t="s">
        <v>119</v>
      </c>
      <c r="AS66" s="196" t="s">
        <v>149</v>
      </c>
      <c r="AT66" s="196" t="s">
        <v>121</v>
      </c>
      <c r="AU66" s="196" t="s">
        <v>122</v>
      </c>
      <c r="AV66" s="196" t="s">
        <v>241</v>
      </c>
      <c r="AW66" s="196" t="s">
        <v>128</v>
      </c>
      <c r="AY66" s="201" t="s">
        <v>123</v>
      </c>
      <c r="AZ66" s="201" t="s">
        <v>116</v>
      </c>
      <c r="BA66" s="201" t="s">
        <v>117</v>
      </c>
      <c r="BB66" s="201" t="s">
        <v>118</v>
      </c>
      <c r="BC66" s="201" t="s">
        <v>124</v>
      </c>
      <c r="BD66" s="201" t="s">
        <v>125</v>
      </c>
      <c r="BE66" s="201" t="s">
        <v>126</v>
      </c>
      <c r="BF66" s="201" t="s">
        <v>119</v>
      </c>
      <c r="BG66" s="201" t="s">
        <v>120</v>
      </c>
      <c r="BH66" s="201" t="s">
        <v>121</v>
      </c>
      <c r="BI66" s="201" t="s">
        <v>122</v>
      </c>
      <c r="BJ66" s="201" t="s">
        <v>127</v>
      </c>
      <c r="BK66" s="201" t="s">
        <v>128</v>
      </c>
    </row>
    <row r="67" spans="37:63" ht="15" hidden="1">
      <c r="AK67" s="196" t="s">
        <v>129</v>
      </c>
      <c r="AL67" s="197">
        <v>4</v>
      </c>
      <c r="AM67" s="197">
        <v>8</v>
      </c>
      <c r="AN67" s="197">
        <v>12</v>
      </c>
      <c r="AO67" s="197">
        <v>16</v>
      </c>
      <c r="AP67" s="197">
        <v>20</v>
      </c>
      <c r="AQ67" s="197">
        <v>24</v>
      </c>
      <c r="AR67" s="197">
        <v>29</v>
      </c>
      <c r="AS67" s="197">
        <v>33</v>
      </c>
      <c r="AT67" s="197">
        <v>37</v>
      </c>
      <c r="AU67" s="197">
        <v>42</v>
      </c>
      <c r="AV67" s="197">
        <v>46</v>
      </c>
      <c r="AW67" s="197">
        <v>50</v>
      </c>
      <c r="AY67" s="196" t="s">
        <v>132</v>
      </c>
      <c r="AZ67" s="202">
        <v>11</v>
      </c>
      <c r="BA67" s="202">
        <v>21</v>
      </c>
      <c r="BB67" s="202">
        <v>32</v>
      </c>
      <c r="BC67" s="202">
        <v>43</v>
      </c>
      <c r="BD67" s="202">
        <v>54</v>
      </c>
      <c r="BE67" s="202">
        <v>65</v>
      </c>
      <c r="BF67" s="202">
        <v>76</v>
      </c>
      <c r="BG67" s="202">
        <v>87</v>
      </c>
      <c r="BH67" s="202">
        <v>98</v>
      </c>
      <c r="BI67" s="202">
        <v>110</v>
      </c>
      <c r="BJ67" s="202">
        <v>121</v>
      </c>
      <c r="BK67" s="202">
        <v>133</v>
      </c>
    </row>
    <row r="68" spans="37:63" ht="15" hidden="1">
      <c r="AK68" s="196" t="s">
        <v>130</v>
      </c>
      <c r="AL68" s="197">
        <v>55</v>
      </c>
      <c r="AM68" s="197">
        <v>59</v>
      </c>
      <c r="AN68" s="197">
        <v>64</v>
      </c>
      <c r="AO68" s="197">
        <v>69</v>
      </c>
      <c r="AP68" s="197">
        <v>73</v>
      </c>
      <c r="AQ68" s="197">
        <v>78</v>
      </c>
      <c r="AR68" s="197">
        <v>83</v>
      </c>
      <c r="AS68" s="197">
        <v>88</v>
      </c>
      <c r="AT68" s="197">
        <v>92</v>
      </c>
      <c r="AU68" s="197">
        <v>97</v>
      </c>
      <c r="AV68" s="197">
        <v>102</v>
      </c>
      <c r="AW68" s="197">
        <v>107</v>
      </c>
      <c r="AY68" s="196" t="s">
        <v>133</v>
      </c>
      <c r="AZ68" s="202">
        <v>145</v>
      </c>
      <c r="BA68" s="202">
        <v>157</v>
      </c>
      <c r="BB68" s="202">
        <v>169</v>
      </c>
      <c r="BC68" s="202">
        <v>181</v>
      </c>
      <c r="BD68" s="202">
        <v>193</v>
      </c>
      <c r="BE68" s="202">
        <v>206</v>
      </c>
      <c r="BF68" s="202">
        <v>218</v>
      </c>
      <c r="BG68" s="202">
        <v>231</v>
      </c>
      <c r="BH68" s="202">
        <v>244</v>
      </c>
      <c r="BI68" s="202">
        <v>257</v>
      </c>
      <c r="BJ68" s="202">
        <v>270</v>
      </c>
      <c r="BK68" s="202">
        <v>283</v>
      </c>
    </row>
    <row r="69" spans="37:63" ht="15" hidden="1">
      <c r="AK69" s="196" t="s">
        <v>131</v>
      </c>
      <c r="AL69" s="197">
        <v>112</v>
      </c>
      <c r="AM69" s="197">
        <v>117</v>
      </c>
      <c r="AN69" s="197">
        <v>123</v>
      </c>
      <c r="AO69" s="197">
        <v>128</v>
      </c>
      <c r="AP69" s="197">
        <v>133</v>
      </c>
      <c r="AQ69" s="197">
        <v>138</v>
      </c>
      <c r="AR69" s="197">
        <v>144</v>
      </c>
      <c r="AS69" s="197">
        <v>149</v>
      </c>
      <c r="AT69" s="197">
        <v>154</v>
      </c>
      <c r="AU69" s="197">
        <v>160</v>
      </c>
      <c r="AV69" s="197">
        <v>166</v>
      </c>
      <c r="AW69" s="197">
        <v>171</v>
      </c>
      <c r="AY69" s="196" t="s">
        <v>134</v>
      </c>
      <c r="AZ69" s="202">
        <v>296</v>
      </c>
      <c r="BA69" s="202">
        <v>310</v>
      </c>
      <c r="BB69" s="202">
        <v>323</v>
      </c>
      <c r="BC69" s="202">
        <v>337</v>
      </c>
      <c r="BD69" s="202">
        <v>351</v>
      </c>
      <c r="BE69" s="202">
        <v>365</v>
      </c>
      <c r="BF69" s="202">
        <v>379</v>
      </c>
      <c r="BG69" s="202">
        <v>392</v>
      </c>
      <c r="BH69" s="202">
        <v>407</v>
      </c>
      <c r="BI69" s="202">
        <v>421</v>
      </c>
      <c r="BJ69" s="202">
        <v>435</v>
      </c>
      <c r="BK69" s="202">
        <v>450</v>
      </c>
    </row>
    <row r="70" spans="37:63" ht="15" hidden="1">
      <c r="AK70" s="196" t="s">
        <v>132</v>
      </c>
      <c r="AL70" s="197">
        <v>177</v>
      </c>
      <c r="AM70" s="197">
        <v>183</v>
      </c>
      <c r="AN70" s="197">
        <v>188</v>
      </c>
      <c r="AO70" s="197">
        <v>194</v>
      </c>
      <c r="AP70" s="197">
        <v>200</v>
      </c>
      <c r="AQ70" s="197">
        <v>206</v>
      </c>
      <c r="AR70" s="197">
        <v>212</v>
      </c>
      <c r="AS70" s="197">
        <v>218</v>
      </c>
      <c r="AT70" s="197">
        <v>224</v>
      </c>
      <c r="AU70" s="197">
        <v>231</v>
      </c>
      <c r="AV70" s="197">
        <v>237</v>
      </c>
      <c r="AW70" s="197">
        <v>243</v>
      </c>
      <c r="AY70" s="196" t="s">
        <v>135</v>
      </c>
      <c r="AZ70" s="202">
        <v>464</v>
      </c>
      <c r="BA70" s="202">
        <v>479</v>
      </c>
      <c r="BB70" s="202">
        <v>494</v>
      </c>
      <c r="BC70" s="202">
        <v>509</v>
      </c>
      <c r="BD70" s="202">
        <v>524</v>
      </c>
      <c r="BE70" s="202">
        <v>539</v>
      </c>
      <c r="BF70" s="202">
        <v>553</v>
      </c>
      <c r="BG70" s="202">
        <v>568</v>
      </c>
      <c r="BH70" s="202">
        <v>583</v>
      </c>
      <c r="BI70" s="202">
        <v>598</v>
      </c>
      <c r="BJ70" s="202">
        <v>613</v>
      </c>
      <c r="BK70" s="202">
        <v>629</v>
      </c>
    </row>
    <row r="71" spans="37:63" ht="15" hidden="1">
      <c r="AK71" s="196" t="s">
        <v>133</v>
      </c>
      <c r="AL71" s="197">
        <v>249</v>
      </c>
      <c r="AM71" s="197">
        <v>256</v>
      </c>
      <c r="AN71" s="197">
        <v>262</v>
      </c>
      <c r="AO71" s="197">
        <v>269</v>
      </c>
      <c r="AP71" s="197">
        <v>276</v>
      </c>
      <c r="AQ71" s="197">
        <v>282</v>
      </c>
      <c r="AR71" s="197">
        <v>289</v>
      </c>
      <c r="AS71" s="197">
        <v>296</v>
      </c>
      <c r="AT71" s="197">
        <v>303</v>
      </c>
      <c r="AU71" s="197">
        <v>310</v>
      </c>
      <c r="AV71" s="197">
        <v>317</v>
      </c>
      <c r="AW71" s="197">
        <v>324</v>
      </c>
      <c r="AY71" s="196" t="s">
        <v>136</v>
      </c>
      <c r="AZ71" s="202">
        <v>644</v>
      </c>
      <c r="BA71" s="202">
        <v>660</v>
      </c>
      <c r="BB71" s="202">
        <v>675</v>
      </c>
      <c r="BC71" s="202">
        <v>691</v>
      </c>
      <c r="BD71" s="202">
        <v>707</v>
      </c>
      <c r="BE71" s="202">
        <v>723</v>
      </c>
      <c r="BF71" s="202">
        <v>739</v>
      </c>
      <c r="BG71" s="202">
        <v>755</v>
      </c>
      <c r="BH71" s="202">
        <v>771</v>
      </c>
      <c r="BI71" s="202">
        <v>787</v>
      </c>
      <c r="BJ71" s="202">
        <v>803</v>
      </c>
      <c r="BK71" s="202">
        <v>820</v>
      </c>
    </row>
    <row r="72" spans="37:63" ht="15" hidden="1">
      <c r="AK72" s="196" t="s">
        <v>134</v>
      </c>
      <c r="AL72" s="197">
        <v>331</v>
      </c>
      <c r="AM72" s="197">
        <v>339</v>
      </c>
      <c r="AN72" s="197">
        <v>346</v>
      </c>
      <c r="AO72" s="197">
        <v>353</v>
      </c>
      <c r="AP72" s="197">
        <v>361</v>
      </c>
      <c r="AQ72" s="197">
        <v>368</v>
      </c>
      <c r="AR72" s="197">
        <v>375</v>
      </c>
      <c r="AS72" s="197">
        <v>382</v>
      </c>
      <c r="AT72" s="197">
        <v>389</v>
      </c>
      <c r="AU72" s="197">
        <v>396</v>
      </c>
      <c r="AV72" s="197">
        <v>403</v>
      </c>
      <c r="AW72" s="197">
        <v>411</v>
      </c>
      <c r="AY72" s="196" t="s">
        <v>137</v>
      </c>
      <c r="AZ72" s="202">
        <v>836</v>
      </c>
      <c r="BA72" s="202">
        <v>853</v>
      </c>
      <c r="BB72" s="202">
        <v>870</v>
      </c>
      <c r="BC72" s="202">
        <v>887</v>
      </c>
      <c r="BD72" s="202">
        <v>904</v>
      </c>
      <c r="BE72" s="202">
        <v>921</v>
      </c>
      <c r="BF72" s="202">
        <v>939</v>
      </c>
      <c r="BG72" s="202">
        <v>956</v>
      </c>
      <c r="BH72" s="202">
        <v>974</v>
      </c>
      <c r="BI72" s="202">
        <v>992</v>
      </c>
      <c r="BJ72" s="202">
        <v>1009</v>
      </c>
      <c r="BK72" s="202">
        <v>1027</v>
      </c>
    </row>
    <row r="73" spans="37:63" ht="15" hidden="1">
      <c r="AK73" s="196" t="s">
        <v>135</v>
      </c>
      <c r="AL73" s="197">
        <v>418</v>
      </c>
      <c r="AM73" s="197">
        <v>426</v>
      </c>
      <c r="AN73" s="197">
        <v>433</v>
      </c>
      <c r="AO73" s="197">
        <v>441</v>
      </c>
      <c r="AP73" s="197">
        <v>448</v>
      </c>
      <c r="AQ73" s="197">
        <v>455</v>
      </c>
      <c r="AR73" s="197">
        <v>462</v>
      </c>
      <c r="AS73" s="197">
        <v>469</v>
      </c>
      <c r="AT73" s="197">
        <v>475</v>
      </c>
      <c r="AU73" s="197">
        <v>482</v>
      </c>
      <c r="AV73" s="197">
        <v>489</v>
      </c>
      <c r="AW73" s="197">
        <v>496</v>
      </c>
      <c r="AY73" s="196" t="s">
        <v>138</v>
      </c>
      <c r="AZ73" s="202">
        <v>1046</v>
      </c>
      <c r="BA73" s="202">
        <v>1064</v>
      </c>
      <c r="BB73" s="202">
        <v>1082</v>
      </c>
      <c r="BC73" s="202">
        <v>1101</v>
      </c>
      <c r="BD73" s="202">
        <v>1120</v>
      </c>
      <c r="BE73" s="202">
        <v>1138</v>
      </c>
      <c r="BF73" s="202">
        <v>1157</v>
      </c>
      <c r="BG73" s="202">
        <v>1176</v>
      </c>
      <c r="BH73" s="202">
        <v>1196</v>
      </c>
      <c r="BI73" s="202">
        <v>1215</v>
      </c>
      <c r="BJ73" s="202">
        <v>1235</v>
      </c>
      <c r="BK73" s="202">
        <v>1254</v>
      </c>
    </row>
    <row r="74" spans="37:63" ht="15" hidden="1">
      <c r="AK74" s="196" t="s">
        <v>136</v>
      </c>
      <c r="AL74" s="197">
        <v>503</v>
      </c>
      <c r="AM74" s="197">
        <v>510</v>
      </c>
      <c r="AN74" s="197">
        <v>518</v>
      </c>
      <c r="AO74" s="197">
        <v>525</v>
      </c>
      <c r="AP74" s="197">
        <v>532</v>
      </c>
      <c r="AQ74" s="197">
        <v>539</v>
      </c>
      <c r="AR74" s="197">
        <v>546</v>
      </c>
      <c r="AS74" s="197">
        <v>553</v>
      </c>
      <c r="AT74" s="197">
        <v>560</v>
      </c>
      <c r="AU74" s="197">
        <v>568</v>
      </c>
      <c r="AV74" s="197">
        <v>575</v>
      </c>
      <c r="AW74" s="197">
        <v>582</v>
      </c>
      <c r="AY74" s="196" t="s">
        <v>139</v>
      </c>
      <c r="AZ74" s="202">
        <v>1273</v>
      </c>
      <c r="BA74" s="202">
        <v>1292</v>
      </c>
      <c r="BB74" s="202">
        <v>1311</v>
      </c>
      <c r="BC74" s="202">
        <v>1331</v>
      </c>
      <c r="BD74" s="202">
        <v>1350</v>
      </c>
      <c r="BE74" s="202">
        <v>1369</v>
      </c>
      <c r="BF74" s="202">
        <v>1389</v>
      </c>
      <c r="BG74" s="202">
        <v>1409</v>
      </c>
      <c r="BH74" s="202">
        <v>1429</v>
      </c>
      <c r="BI74" s="202">
        <v>1449</v>
      </c>
      <c r="BJ74" s="202">
        <v>1469</v>
      </c>
      <c r="BK74" s="202">
        <v>1489</v>
      </c>
    </row>
    <row r="75" spans="37:63" ht="15" hidden="1">
      <c r="AK75" s="196" t="s">
        <v>137</v>
      </c>
      <c r="AL75" s="197">
        <v>589</v>
      </c>
      <c r="AM75" s="197">
        <v>597</v>
      </c>
      <c r="AN75" s="197">
        <v>604</v>
      </c>
      <c r="AO75" s="197">
        <v>612</v>
      </c>
      <c r="AP75" s="197">
        <v>619</v>
      </c>
      <c r="AQ75" s="197">
        <v>627</v>
      </c>
      <c r="AR75" s="197">
        <v>634</v>
      </c>
      <c r="AS75" s="197">
        <v>642</v>
      </c>
      <c r="AT75" s="197">
        <v>650</v>
      </c>
      <c r="AU75" s="197">
        <v>658</v>
      </c>
      <c r="AV75" s="197">
        <v>666</v>
      </c>
      <c r="AW75" s="197">
        <v>674</v>
      </c>
      <c r="AY75" s="196" t="s">
        <v>140</v>
      </c>
      <c r="AZ75" s="202">
        <v>1509</v>
      </c>
      <c r="BA75" s="202">
        <v>1530</v>
      </c>
      <c r="BB75" s="202">
        <v>1551</v>
      </c>
      <c r="BC75" s="202">
        <v>1572</v>
      </c>
      <c r="BD75" s="202">
        <v>1592</v>
      </c>
      <c r="BE75" s="202">
        <v>1614</v>
      </c>
      <c r="BF75" s="202">
        <v>1635</v>
      </c>
      <c r="BG75" s="202">
        <v>1656</v>
      </c>
      <c r="BH75" s="202">
        <v>1678</v>
      </c>
      <c r="BI75" s="202">
        <v>1699</v>
      </c>
      <c r="BJ75" s="202">
        <v>1721</v>
      </c>
      <c r="BK75" s="202">
        <v>1743</v>
      </c>
    </row>
    <row r="76" spans="37:63" ht="15" hidden="1">
      <c r="AK76" s="196" t="s">
        <v>138</v>
      </c>
      <c r="AL76" s="197">
        <v>682</v>
      </c>
      <c r="AM76" s="197">
        <v>690</v>
      </c>
      <c r="AN76" s="197">
        <v>698</v>
      </c>
      <c r="AO76" s="197">
        <v>706</v>
      </c>
      <c r="AP76" s="197">
        <v>714</v>
      </c>
      <c r="AQ76" s="197">
        <v>723</v>
      </c>
      <c r="AR76" s="197">
        <v>731</v>
      </c>
      <c r="AS76" s="197">
        <v>739</v>
      </c>
      <c r="AT76" s="197">
        <v>748</v>
      </c>
      <c r="AU76" s="197">
        <v>756</v>
      </c>
      <c r="AV76" s="197">
        <v>765</v>
      </c>
      <c r="AW76" s="197">
        <v>774</v>
      </c>
      <c r="AY76" s="196" t="s">
        <v>141</v>
      </c>
      <c r="AZ76" s="202">
        <v>1765</v>
      </c>
      <c r="BA76" s="202">
        <v>1787</v>
      </c>
      <c r="BB76" s="202">
        <v>1810</v>
      </c>
      <c r="BC76" s="202">
        <v>1832</v>
      </c>
      <c r="BD76" s="202">
        <v>1855</v>
      </c>
      <c r="BE76" s="202">
        <v>1878</v>
      </c>
      <c r="BF76" s="202">
        <v>1901</v>
      </c>
      <c r="BG76" s="202">
        <v>1924</v>
      </c>
      <c r="BH76" s="202">
        <v>1947</v>
      </c>
      <c r="BI76" s="202">
        <v>1971</v>
      </c>
      <c r="BJ76" s="202">
        <v>1994</v>
      </c>
      <c r="BK76" s="202">
        <v>2018</v>
      </c>
    </row>
    <row r="77" spans="37:63" ht="15" hidden="1">
      <c r="AK77" s="196" t="s">
        <v>139</v>
      </c>
      <c r="AL77" s="197">
        <v>782</v>
      </c>
      <c r="AM77" s="197">
        <v>789</v>
      </c>
      <c r="AN77" s="197">
        <v>797</v>
      </c>
      <c r="AO77" s="197">
        <v>805</v>
      </c>
      <c r="AP77" s="197">
        <v>813</v>
      </c>
      <c r="AQ77" s="197">
        <v>821</v>
      </c>
      <c r="AR77" s="197">
        <v>829</v>
      </c>
      <c r="AS77" s="197">
        <v>838</v>
      </c>
      <c r="AT77" s="197">
        <v>846</v>
      </c>
      <c r="AU77" s="197">
        <v>854</v>
      </c>
      <c r="AV77" s="197">
        <v>862</v>
      </c>
      <c r="AW77" s="197">
        <v>871</v>
      </c>
      <c r="AY77" s="196" t="s">
        <v>142</v>
      </c>
      <c r="AZ77" s="202">
        <v>2042</v>
      </c>
      <c r="BA77" s="202">
        <v>2066</v>
      </c>
      <c r="BB77" s="202">
        <v>2091</v>
      </c>
      <c r="BC77" s="202">
        <v>2115</v>
      </c>
      <c r="BD77" s="202">
        <v>2140</v>
      </c>
      <c r="BE77" s="202">
        <v>2164</v>
      </c>
      <c r="BF77" s="202">
        <v>2189</v>
      </c>
      <c r="BG77" s="202">
        <v>2214</v>
      </c>
      <c r="BH77" s="202">
        <v>2240</v>
      </c>
      <c r="BI77" s="202">
        <v>2265</v>
      </c>
      <c r="BJ77" s="202">
        <v>2290</v>
      </c>
      <c r="BK77" s="202">
        <v>2316</v>
      </c>
    </row>
    <row r="78" spans="37:63" ht="15" hidden="1">
      <c r="AK78" s="196" t="s">
        <v>140</v>
      </c>
      <c r="AL78" s="197">
        <v>879</v>
      </c>
      <c r="AM78" s="197">
        <v>888</v>
      </c>
      <c r="AN78" s="197">
        <v>896</v>
      </c>
      <c r="AO78" s="197">
        <v>905</v>
      </c>
      <c r="AP78" s="197">
        <v>913</v>
      </c>
      <c r="AQ78" s="197">
        <v>922</v>
      </c>
      <c r="AR78" s="197">
        <v>931</v>
      </c>
      <c r="AS78" s="197">
        <v>940</v>
      </c>
      <c r="AT78" s="197">
        <v>949</v>
      </c>
      <c r="AU78" s="197">
        <v>958</v>
      </c>
      <c r="AV78" s="197">
        <v>966</v>
      </c>
      <c r="AW78" s="197">
        <v>976</v>
      </c>
      <c r="AY78" s="196" t="s">
        <v>143</v>
      </c>
      <c r="AZ78" s="202">
        <v>2342</v>
      </c>
      <c r="BA78" s="202">
        <v>2368</v>
      </c>
      <c r="BB78" s="202">
        <v>2395</v>
      </c>
      <c r="BC78" s="202">
        <v>2421</v>
      </c>
      <c r="BD78" s="202">
        <v>2448</v>
      </c>
      <c r="BE78" s="202">
        <v>2474</v>
      </c>
      <c r="BF78" s="202">
        <v>2501</v>
      </c>
      <c r="BG78" s="202">
        <v>2528</v>
      </c>
      <c r="BH78" s="202">
        <v>2556</v>
      </c>
      <c r="BI78" s="202">
        <v>2583</v>
      </c>
      <c r="BJ78" s="202">
        <v>2611</v>
      </c>
      <c r="BK78" s="202">
        <v>2639</v>
      </c>
    </row>
    <row r="79" spans="37:63" ht="15" hidden="1">
      <c r="AK79" s="196" t="s">
        <v>141</v>
      </c>
      <c r="AL79" s="197">
        <v>985</v>
      </c>
      <c r="AM79" s="197">
        <v>994</v>
      </c>
      <c r="AN79" s="197">
        <v>1003</v>
      </c>
      <c r="AO79" s="197">
        <v>1012</v>
      </c>
      <c r="AP79" s="197">
        <v>1022</v>
      </c>
      <c r="AQ79" s="197">
        <v>1031</v>
      </c>
      <c r="AR79" s="197">
        <v>1041</v>
      </c>
      <c r="AS79" s="197">
        <v>1050</v>
      </c>
      <c r="AT79" s="197">
        <v>1060</v>
      </c>
      <c r="AU79" s="197">
        <v>1070</v>
      </c>
      <c r="AV79" s="197">
        <v>1079</v>
      </c>
      <c r="AW79" s="197">
        <v>1089</v>
      </c>
      <c r="AY79" s="196" t="s">
        <v>144</v>
      </c>
      <c r="AZ79" s="202">
        <v>2667</v>
      </c>
      <c r="BA79" s="202">
        <v>2695</v>
      </c>
      <c r="BB79" s="202">
        <v>2724</v>
      </c>
      <c r="BC79" s="202">
        <v>2752</v>
      </c>
      <c r="BD79" s="202">
        <v>2781</v>
      </c>
      <c r="BE79" s="202">
        <v>2810</v>
      </c>
      <c r="BF79" s="202">
        <v>2839</v>
      </c>
      <c r="BG79" s="202">
        <v>2869</v>
      </c>
      <c r="BH79" s="202">
        <v>2898</v>
      </c>
      <c r="BI79" s="202">
        <v>2928</v>
      </c>
      <c r="BJ79" s="202">
        <v>2958</v>
      </c>
      <c r="BK79" s="202">
        <v>2988</v>
      </c>
    </row>
    <row r="80" spans="37:63" ht="15" hidden="1">
      <c r="AK80" s="196" t="s">
        <v>142</v>
      </c>
      <c r="AL80" s="197">
        <v>1099</v>
      </c>
      <c r="AM80" s="197">
        <v>1109</v>
      </c>
      <c r="AN80" s="197">
        <v>1119</v>
      </c>
      <c r="AO80" s="197">
        <v>1129</v>
      </c>
      <c r="AP80" s="197">
        <v>1139</v>
      </c>
      <c r="AQ80" s="197">
        <v>1149</v>
      </c>
      <c r="AR80" s="197">
        <v>1160</v>
      </c>
      <c r="AS80" s="197">
        <v>1170</v>
      </c>
      <c r="AT80" s="197">
        <v>1181</v>
      </c>
      <c r="AU80" s="197">
        <v>1191</v>
      </c>
      <c r="AV80" s="197">
        <v>1201</v>
      </c>
      <c r="AW80" s="197">
        <v>1212</v>
      </c>
      <c r="AY80" s="196" t="s">
        <v>145</v>
      </c>
      <c r="AZ80" s="202">
        <v>3019</v>
      </c>
      <c r="BA80" s="202">
        <v>3049</v>
      </c>
      <c r="BB80" s="202">
        <v>3080</v>
      </c>
      <c r="BC80" s="202">
        <v>3111</v>
      </c>
      <c r="BD80" s="202">
        <v>3142</v>
      </c>
      <c r="BE80" s="202">
        <v>3174</v>
      </c>
      <c r="BF80" s="202">
        <v>3205</v>
      </c>
      <c r="BG80" s="202">
        <v>3237</v>
      </c>
      <c r="BH80" s="202">
        <v>3269</v>
      </c>
      <c r="BI80" s="202">
        <v>3301</v>
      </c>
      <c r="BJ80" s="202">
        <v>3334</v>
      </c>
      <c r="BK80" s="202">
        <v>3367</v>
      </c>
    </row>
    <row r="81" spans="37:63" ht="15" hidden="1">
      <c r="AK81" s="196" t="s">
        <v>143</v>
      </c>
      <c r="AL81" s="197">
        <v>1223</v>
      </c>
      <c r="AM81" s="197">
        <v>1233</v>
      </c>
      <c r="AN81" s="197">
        <v>1244</v>
      </c>
      <c r="AO81" s="197">
        <v>1255</v>
      </c>
      <c r="AP81" s="197">
        <v>1266</v>
      </c>
      <c r="AQ81" s="197">
        <v>1277</v>
      </c>
      <c r="AR81" s="197">
        <v>1288</v>
      </c>
      <c r="AS81" s="197">
        <v>1300</v>
      </c>
      <c r="AT81" s="197">
        <v>1311</v>
      </c>
      <c r="AU81" s="197">
        <v>1322</v>
      </c>
      <c r="AV81" s="197">
        <v>1334</v>
      </c>
      <c r="AW81" s="197">
        <v>1345</v>
      </c>
      <c r="AY81" s="196" t="s">
        <v>146</v>
      </c>
      <c r="AZ81" s="202">
        <v>3400</v>
      </c>
      <c r="BA81" s="202">
        <v>3434</v>
      </c>
      <c r="BB81" s="202">
        <v>3469</v>
      </c>
      <c r="BC81" s="202">
        <v>3505</v>
      </c>
      <c r="BD81" s="202">
        <v>3540</v>
      </c>
      <c r="BE81" s="202">
        <v>3576</v>
      </c>
      <c r="BF81" s="202">
        <v>3612</v>
      </c>
      <c r="BG81" s="202">
        <v>3648</v>
      </c>
      <c r="BH81" s="202">
        <v>3685</v>
      </c>
      <c r="BI81" s="202">
        <v>3722</v>
      </c>
      <c r="BJ81" s="202">
        <v>3759</v>
      </c>
      <c r="BK81" s="202">
        <v>3796</v>
      </c>
    </row>
    <row r="82" spans="37:63" ht="15" hidden="1">
      <c r="AK82" s="196" t="s">
        <v>144</v>
      </c>
      <c r="AL82" s="197">
        <v>1357</v>
      </c>
      <c r="AM82" s="197">
        <v>1368</v>
      </c>
      <c r="AN82" s="197">
        <v>1380</v>
      </c>
      <c r="AO82" s="197">
        <v>1392</v>
      </c>
      <c r="AP82" s="197">
        <v>1404</v>
      </c>
      <c r="AQ82" s="197">
        <v>1416</v>
      </c>
      <c r="AR82" s="197">
        <v>1428</v>
      </c>
      <c r="AS82" s="197">
        <v>1440</v>
      </c>
      <c r="AT82" s="197">
        <v>1452</v>
      </c>
      <c r="AU82" s="197">
        <v>1464</v>
      </c>
      <c r="AV82" s="197">
        <v>1477</v>
      </c>
      <c r="AW82" s="197">
        <v>1489</v>
      </c>
      <c r="AY82" s="196" t="s">
        <v>242</v>
      </c>
      <c r="AZ82" s="202">
        <v>3834</v>
      </c>
      <c r="BA82" s="202">
        <v>3872</v>
      </c>
      <c r="BB82" s="202">
        <v>3910</v>
      </c>
      <c r="BC82" s="202">
        <v>3949</v>
      </c>
      <c r="BD82" s="202">
        <v>3987</v>
      </c>
      <c r="BE82" s="203">
        <v>4027</v>
      </c>
      <c r="BF82" s="203">
        <v>4066</v>
      </c>
      <c r="BG82" s="203">
        <v>4106</v>
      </c>
      <c r="BH82" s="203">
        <v>4146</v>
      </c>
      <c r="BI82" s="203">
        <v>4186</v>
      </c>
      <c r="BJ82" s="203">
        <v>4227</v>
      </c>
      <c r="BK82" s="203">
        <v>4268</v>
      </c>
    </row>
    <row r="83" spans="37:63" ht="15" hidden="1">
      <c r="AK83" s="196" t="s">
        <v>145</v>
      </c>
      <c r="AL83" s="197">
        <v>1502</v>
      </c>
      <c r="AM83" s="197">
        <v>1514</v>
      </c>
      <c r="AN83" s="197">
        <v>1527</v>
      </c>
      <c r="AO83" s="197">
        <v>1540</v>
      </c>
      <c r="AP83" s="197">
        <v>1553</v>
      </c>
      <c r="AQ83" s="197">
        <v>1566</v>
      </c>
      <c r="AR83" s="197">
        <v>1579</v>
      </c>
      <c r="AS83" s="197">
        <v>1592</v>
      </c>
      <c r="AT83" s="197">
        <v>1605</v>
      </c>
      <c r="AU83" s="197">
        <v>1618</v>
      </c>
      <c r="AV83" s="197">
        <v>1632</v>
      </c>
      <c r="AW83" s="197">
        <v>1645</v>
      </c>
      <c r="AY83" s="195" t="s">
        <v>314</v>
      </c>
      <c r="AZ83" s="203">
        <v>4309</v>
      </c>
      <c r="BA83" s="203">
        <v>4350</v>
      </c>
      <c r="BB83" s="203">
        <v>4392</v>
      </c>
      <c r="BC83" s="203">
        <v>4434</v>
      </c>
      <c r="BD83" s="203">
        <v>4477</v>
      </c>
      <c r="BE83"/>
      <c r="BF83"/>
      <c r="BG83"/>
      <c r="BH83"/>
      <c r="BI83"/>
      <c r="BJ83"/>
      <c r="BK83"/>
    </row>
    <row r="84" spans="37:49" ht="15" hidden="1">
      <c r="AK84" s="196" t="s">
        <v>146</v>
      </c>
      <c r="AL84" s="197">
        <v>1659</v>
      </c>
      <c r="AM84" s="197">
        <v>1673</v>
      </c>
      <c r="AN84" s="197">
        <v>1688</v>
      </c>
      <c r="AO84" s="197">
        <v>1703</v>
      </c>
      <c r="AP84" s="197">
        <v>1718</v>
      </c>
      <c r="AQ84" s="197">
        <v>1733</v>
      </c>
      <c r="AR84" s="197">
        <v>1748</v>
      </c>
      <c r="AS84" s="197">
        <v>1763</v>
      </c>
      <c r="AT84" s="197">
        <v>1779</v>
      </c>
      <c r="AU84" s="197">
        <v>1794</v>
      </c>
      <c r="AV84" s="197">
        <v>1810</v>
      </c>
      <c r="AW84" s="197">
        <v>1826</v>
      </c>
    </row>
    <row r="85" spans="37:49" ht="15" hidden="1">
      <c r="AK85" s="196" t="s">
        <v>242</v>
      </c>
      <c r="AL85" s="197">
        <v>1842</v>
      </c>
      <c r="AM85" s="197">
        <v>1858</v>
      </c>
      <c r="AN85" s="197">
        <v>1874</v>
      </c>
      <c r="AO85" s="197">
        <v>1890</v>
      </c>
      <c r="AP85" s="197">
        <v>1906</v>
      </c>
      <c r="AQ85" s="199">
        <v>1923</v>
      </c>
      <c r="AR85" s="199">
        <v>1940</v>
      </c>
      <c r="AS85" s="199">
        <v>1956</v>
      </c>
      <c r="AT85" s="199">
        <v>1973</v>
      </c>
      <c r="AU85" s="199">
        <v>1990</v>
      </c>
      <c r="AV85" s="199">
        <v>2008</v>
      </c>
      <c r="AW85" s="199">
        <v>2025</v>
      </c>
    </row>
    <row r="86" spans="37:49" ht="15" hidden="1">
      <c r="AK86" s="195" t="s">
        <v>314</v>
      </c>
      <c r="AL86" s="199">
        <v>2043</v>
      </c>
      <c r="AM86" s="199">
        <v>2060</v>
      </c>
      <c r="AN86" s="199">
        <v>2078</v>
      </c>
      <c r="AO86" s="199">
        <v>2096</v>
      </c>
      <c r="AP86" s="199">
        <v>2114</v>
      </c>
      <c r="AQ86"/>
      <c r="AR86"/>
      <c r="AS86"/>
      <c r="AT86"/>
      <c r="AU86"/>
      <c r="AV86"/>
      <c r="AW86"/>
    </row>
    <row r="87" spans="37:63" ht="15" hidden="1">
      <c r="AK87" s="195" t="s">
        <v>315</v>
      </c>
      <c r="AL87" s="196" t="s">
        <v>116</v>
      </c>
      <c r="AM87" s="196" t="s">
        <v>117</v>
      </c>
      <c r="AN87" s="196" t="s">
        <v>118</v>
      </c>
      <c r="AO87" s="196" t="s">
        <v>124</v>
      </c>
      <c r="AP87" s="196" t="s">
        <v>125</v>
      </c>
      <c r="AQ87" s="196" t="s">
        <v>126</v>
      </c>
      <c r="AR87" s="196" t="s">
        <v>119</v>
      </c>
      <c r="AS87" s="196" t="s">
        <v>149</v>
      </c>
      <c r="AT87" s="196" t="s">
        <v>121</v>
      </c>
      <c r="AU87" s="196" t="s">
        <v>122</v>
      </c>
      <c r="AV87" s="196" t="s">
        <v>241</v>
      </c>
      <c r="AW87" s="196" t="s">
        <v>128</v>
      </c>
      <c r="AY87" s="201" t="s">
        <v>123</v>
      </c>
      <c r="AZ87" s="201" t="s">
        <v>116</v>
      </c>
      <c r="BA87" s="201" t="s">
        <v>117</v>
      </c>
      <c r="BB87" s="201" t="s">
        <v>118</v>
      </c>
      <c r="BC87" s="201" t="s">
        <v>124</v>
      </c>
      <c r="BD87" s="201" t="s">
        <v>125</v>
      </c>
      <c r="BE87" s="201" t="s">
        <v>126</v>
      </c>
      <c r="BF87" s="201" t="s">
        <v>119</v>
      </c>
      <c r="BG87" s="201" t="s">
        <v>120</v>
      </c>
      <c r="BH87" s="201" t="s">
        <v>121</v>
      </c>
      <c r="BI87" s="201" t="s">
        <v>122</v>
      </c>
      <c r="BJ87" s="201" t="s">
        <v>127</v>
      </c>
      <c r="BK87" s="201" t="s">
        <v>128</v>
      </c>
    </row>
    <row r="88" spans="37:63" ht="15" hidden="1">
      <c r="AK88" s="196" t="s">
        <v>129</v>
      </c>
      <c r="AL88" s="197">
        <v>5</v>
      </c>
      <c r="AM88" s="197">
        <v>11</v>
      </c>
      <c r="AN88" s="197">
        <v>16</v>
      </c>
      <c r="AO88" s="197">
        <v>21</v>
      </c>
      <c r="AP88" s="197">
        <v>27</v>
      </c>
      <c r="AQ88" s="197">
        <v>32</v>
      </c>
      <c r="AR88" s="197">
        <v>38</v>
      </c>
      <c r="AS88" s="197">
        <v>43</v>
      </c>
      <c r="AT88" s="197">
        <v>49</v>
      </c>
      <c r="AU88" s="197">
        <v>55</v>
      </c>
      <c r="AV88" s="197">
        <v>61</v>
      </c>
      <c r="AW88" s="197">
        <v>67</v>
      </c>
      <c r="AY88" s="196" t="s">
        <v>133</v>
      </c>
      <c r="AZ88" s="202">
        <v>11</v>
      </c>
      <c r="BA88" s="202">
        <v>21</v>
      </c>
      <c r="BB88" s="202">
        <v>32</v>
      </c>
      <c r="BC88" s="202">
        <v>43</v>
      </c>
      <c r="BD88" s="202">
        <v>54</v>
      </c>
      <c r="BE88" s="202">
        <v>65</v>
      </c>
      <c r="BF88" s="202">
        <v>76</v>
      </c>
      <c r="BG88" s="202">
        <v>87</v>
      </c>
      <c r="BH88" s="202">
        <v>98</v>
      </c>
      <c r="BI88" s="202">
        <v>110</v>
      </c>
      <c r="BJ88" s="202">
        <v>121</v>
      </c>
      <c r="BK88" s="202">
        <v>133</v>
      </c>
    </row>
    <row r="89" spans="37:63" ht="15" hidden="1">
      <c r="AK89" s="196" t="s">
        <v>130</v>
      </c>
      <c r="AL89" s="197">
        <v>72</v>
      </c>
      <c r="AM89" s="197">
        <v>78</v>
      </c>
      <c r="AN89" s="197">
        <v>84</v>
      </c>
      <c r="AO89" s="197">
        <v>90</v>
      </c>
      <c r="AP89" s="197">
        <v>97</v>
      </c>
      <c r="AQ89" s="197">
        <v>103</v>
      </c>
      <c r="AR89" s="197">
        <v>109</v>
      </c>
      <c r="AS89" s="197">
        <v>115</v>
      </c>
      <c r="AT89" s="197">
        <v>122</v>
      </c>
      <c r="AU89" s="197">
        <v>128</v>
      </c>
      <c r="AV89" s="197">
        <v>135</v>
      </c>
      <c r="AW89" s="197">
        <v>141</v>
      </c>
      <c r="AY89" s="196" t="s">
        <v>134</v>
      </c>
      <c r="AZ89" s="202">
        <v>145</v>
      </c>
      <c r="BA89" s="202">
        <v>157</v>
      </c>
      <c r="BB89" s="202">
        <v>169</v>
      </c>
      <c r="BC89" s="202">
        <v>181</v>
      </c>
      <c r="BD89" s="202">
        <v>193</v>
      </c>
      <c r="BE89" s="202">
        <v>205</v>
      </c>
      <c r="BF89" s="202">
        <v>217</v>
      </c>
      <c r="BG89" s="202">
        <v>230</v>
      </c>
      <c r="BH89" s="202">
        <v>243</v>
      </c>
      <c r="BI89" s="202">
        <v>255</v>
      </c>
      <c r="BJ89" s="202">
        <v>268</v>
      </c>
      <c r="BK89" s="202">
        <v>281</v>
      </c>
    </row>
    <row r="90" spans="37:63" ht="15" hidden="1">
      <c r="AK90" s="196" t="s">
        <v>131</v>
      </c>
      <c r="AL90" s="197">
        <v>148</v>
      </c>
      <c r="AM90" s="197">
        <v>155</v>
      </c>
      <c r="AN90" s="197">
        <v>162</v>
      </c>
      <c r="AO90" s="197">
        <v>168</v>
      </c>
      <c r="AP90" s="197">
        <v>175</v>
      </c>
      <c r="AQ90" s="197">
        <v>182</v>
      </c>
      <c r="AR90" s="197">
        <v>189</v>
      </c>
      <c r="AS90" s="197">
        <v>196</v>
      </c>
      <c r="AT90" s="197">
        <v>204</v>
      </c>
      <c r="AU90" s="197">
        <v>211</v>
      </c>
      <c r="AV90" s="197">
        <v>218</v>
      </c>
      <c r="AW90" s="197">
        <v>226</v>
      </c>
      <c r="AY90" s="196" t="s">
        <v>135</v>
      </c>
      <c r="AZ90" s="202">
        <v>294</v>
      </c>
      <c r="BA90" s="202">
        <v>308</v>
      </c>
      <c r="BB90" s="202">
        <v>321</v>
      </c>
      <c r="BC90" s="202">
        <v>334</v>
      </c>
      <c r="BD90" s="202">
        <v>348</v>
      </c>
      <c r="BE90" s="202">
        <v>361</v>
      </c>
      <c r="BF90" s="202">
        <v>374</v>
      </c>
      <c r="BG90" s="202">
        <v>388</v>
      </c>
      <c r="BH90" s="202">
        <v>401</v>
      </c>
      <c r="BI90" s="202">
        <v>415</v>
      </c>
      <c r="BJ90" s="202">
        <v>429</v>
      </c>
      <c r="BK90" s="202">
        <v>443</v>
      </c>
    </row>
    <row r="91" spans="37:63" ht="15" hidden="1">
      <c r="AK91" s="196" t="s">
        <v>132</v>
      </c>
      <c r="AL91" s="197">
        <v>233</v>
      </c>
      <c r="AM91" s="197">
        <v>241</v>
      </c>
      <c r="AN91" s="197">
        <v>248</v>
      </c>
      <c r="AO91" s="197">
        <v>256</v>
      </c>
      <c r="AP91" s="197">
        <v>264</v>
      </c>
      <c r="AQ91" s="197">
        <v>272</v>
      </c>
      <c r="AR91" s="197">
        <v>280</v>
      </c>
      <c r="AS91" s="197">
        <v>288</v>
      </c>
      <c r="AT91" s="197">
        <v>296</v>
      </c>
      <c r="AU91" s="197">
        <v>304</v>
      </c>
      <c r="AV91" s="197">
        <v>312</v>
      </c>
      <c r="AW91" s="197">
        <v>320</v>
      </c>
      <c r="AY91" s="196" t="s">
        <v>136</v>
      </c>
      <c r="AZ91" s="202">
        <v>457</v>
      </c>
      <c r="BA91" s="202">
        <v>471</v>
      </c>
      <c r="BB91" s="202">
        <v>485</v>
      </c>
      <c r="BC91" s="202">
        <v>499</v>
      </c>
      <c r="BD91" s="202">
        <v>514</v>
      </c>
      <c r="BE91" s="202">
        <v>528</v>
      </c>
      <c r="BF91" s="202">
        <v>542</v>
      </c>
      <c r="BG91" s="202">
        <v>557</v>
      </c>
      <c r="BH91" s="202">
        <v>571</v>
      </c>
      <c r="BI91" s="202">
        <v>586</v>
      </c>
      <c r="BJ91" s="202">
        <v>601</v>
      </c>
      <c r="BK91" s="202">
        <v>616</v>
      </c>
    </row>
    <row r="92" spans="37:63" ht="15" hidden="1">
      <c r="AK92" s="196" t="s">
        <v>133</v>
      </c>
      <c r="AL92" s="197">
        <v>329</v>
      </c>
      <c r="AM92" s="197">
        <v>337</v>
      </c>
      <c r="AN92" s="197">
        <v>346</v>
      </c>
      <c r="AO92" s="197">
        <v>355</v>
      </c>
      <c r="AP92" s="197">
        <v>363</v>
      </c>
      <c r="AQ92" s="197">
        <v>372</v>
      </c>
      <c r="AR92" s="197">
        <v>381</v>
      </c>
      <c r="AS92" s="197">
        <v>390</v>
      </c>
      <c r="AT92" s="197">
        <v>399</v>
      </c>
      <c r="AU92" s="197">
        <v>409</v>
      </c>
      <c r="AV92" s="197">
        <v>418</v>
      </c>
      <c r="AW92" s="197">
        <v>427</v>
      </c>
      <c r="AY92" s="196" t="s">
        <v>137</v>
      </c>
      <c r="AZ92" s="202">
        <v>631</v>
      </c>
      <c r="BA92" s="202">
        <v>646</v>
      </c>
      <c r="BB92" s="202">
        <v>662</v>
      </c>
      <c r="BC92" s="202">
        <v>677</v>
      </c>
      <c r="BD92" s="202">
        <v>693</v>
      </c>
      <c r="BE92" s="202">
        <v>708</v>
      </c>
      <c r="BF92" s="202">
        <v>724</v>
      </c>
      <c r="BG92" s="202">
        <v>740</v>
      </c>
      <c r="BH92" s="202">
        <v>756</v>
      </c>
      <c r="BI92" s="202">
        <v>772</v>
      </c>
      <c r="BJ92" s="202">
        <v>788</v>
      </c>
      <c r="BK92" s="202">
        <v>805</v>
      </c>
    </row>
    <row r="93" spans="37:63" ht="15" hidden="1">
      <c r="AK93" s="196" t="s">
        <v>134</v>
      </c>
      <c r="AL93" s="197">
        <v>437</v>
      </c>
      <c r="AM93" s="197">
        <v>446</v>
      </c>
      <c r="AN93" s="197">
        <v>456</v>
      </c>
      <c r="AO93" s="197">
        <v>466</v>
      </c>
      <c r="AP93" s="197">
        <v>476</v>
      </c>
      <c r="AQ93" s="197">
        <v>485</v>
      </c>
      <c r="AR93" s="197">
        <v>494</v>
      </c>
      <c r="AS93" s="197">
        <v>504</v>
      </c>
      <c r="AT93" s="197">
        <v>513</v>
      </c>
      <c r="AU93" s="197">
        <v>523</v>
      </c>
      <c r="AV93" s="197">
        <v>532</v>
      </c>
      <c r="AW93" s="197">
        <v>542</v>
      </c>
      <c r="AY93" s="196" t="s">
        <v>138</v>
      </c>
      <c r="AZ93" s="202">
        <v>821</v>
      </c>
      <c r="BA93" s="202">
        <v>838</v>
      </c>
      <c r="BB93" s="202">
        <v>855</v>
      </c>
      <c r="BC93" s="202">
        <v>871</v>
      </c>
      <c r="BD93" s="202">
        <v>888</v>
      </c>
      <c r="BE93" s="202">
        <v>906</v>
      </c>
      <c r="BF93" s="202">
        <v>923</v>
      </c>
      <c r="BG93" s="202">
        <v>940</v>
      </c>
      <c r="BH93" s="202">
        <v>958</v>
      </c>
      <c r="BI93" s="202">
        <v>975</v>
      </c>
      <c r="BJ93" s="202">
        <v>993</v>
      </c>
      <c r="BK93" s="202">
        <v>1011</v>
      </c>
    </row>
    <row r="94" spans="37:63" ht="15" hidden="1">
      <c r="AK94" s="196" t="s">
        <v>135</v>
      </c>
      <c r="AL94" s="197">
        <v>552</v>
      </c>
      <c r="AM94" s="197">
        <v>561</v>
      </c>
      <c r="AN94" s="197">
        <v>571</v>
      </c>
      <c r="AO94" s="197">
        <v>581</v>
      </c>
      <c r="AP94" s="197">
        <v>591</v>
      </c>
      <c r="AQ94" s="197">
        <v>600</v>
      </c>
      <c r="AR94" s="197">
        <v>609</v>
      </c>
      <c r="AS94" s="197">
        <v>618</v>
      </c>
      <c r="AT94" s="197">
        <v>627</v>
      </c>
      <c r="AU94" s="197">
        <v>636</v>
      </c>
      <c r="AV94" s="197">
        <v>645</v>
      </c>
      <c r="AW94" s="197">
        <v>654</v>
      </c>
      <c r="AY94" s="196" t="s">
        <v>139</v>
      </c>
      <c r="AZ94" s="202">
        <v>1028</v>
      </c>
      <c r="BA94" s="202">
        <v>1045</v>
      </c>
      <c r="BB94" s="202">
        <v>1063</v>
      </c>
      <c r="BC94" s="202">
        <v>1081</v>
      </c>
      <c r="BD94" s="202">
        <v>1098</v>
      </c>
      <c r="BE94" s="202">
        <v>1116</v>
      </c>
      <c r="BF94" s="202">
        <v>1134</v>
      </c>
      <c r="BG94" s="202">
        <v>1152</v>
      </c>
      <c r="BH94" s="202">
        <v>1170</v>
      </c>
      <c r="BI94" s="202">
        <v>1188</v>
      </c>
      <c r="BJ94" s="202">
        <v>1207</v>
      </c>
      <c r="BK94" s="202">
        <v>1225</v>
      </c>
    </row>
    <row r="95" spans="37:63" ht="15" hidden="1">
      <c r="AK95" s="196" t="s">
        <v>136</v>
      </c>
      <c r="AL95" s="197">
        <v>664</v>
      </c>
      <c r="AM95" s="197">
        <v>673</v>
      </c>
      <c r="AN95" s="197">
        <v>683</v>
      </c>
      <c r="AO95" s="197">
        <v>692</v>
      </c>
      <c r="AP95" s="197">
        <v>702</v>
      </c>
      <c r="AQ95" s="197">
        <v>711</v>
      </c>
      <c r="AR95" s="197">
        <v>720</v>
      </c>
      <c r="AS95" s="197">
        <v>729</v>
      </c>
      <c r="AT95" s="197">
        <v>739</v>
      </c>
      <c r="AU95" s="197">
        <v>748</v>
      </c>
      <c r="AV95" s="197">
        <v>758</v>
      </c>
      <c r="AW95" s="197">
        <v>767</v>
      </c>
      <c r="AY95" s="196" t="s">
        <v>140</v>
      </c>
      <c r="AZ95" s="202">
        <v>1244</v>
      </c>
      <c r="BA95" s="202">
        <v>1263</v>
      </c>
      <c r="BB95" s="202">
        <v>1282</v>
      </c>
      <c r="BC95" s="202">
        <v>1301</v>
      </c>
      <c r="BD95" s="202">
        <v>1320</v>
      </c>
      <c r="BE95" s="202">
        <v>1339</v>
      </c>
      <c r="BF95" s="202">
        <v>1359</v>
      </c>
      <c r="BG95" s="202">
        <v>1378</v>
      </c>
      <c r="BH95" s="202">
        <v>1398</v>
      </c>
      <c r="BI95" s="202">
        <v>1418</v>
      </c>
      <c r="BJ95" s="202">
        <v>1438</v>
      </c>
      <c r="BK95" s="202">
        <v>1458</v>
      </c>
    </row>
    <row r="96" spans="37:63" ht="15" hidden="1">
      <c r="AK96" s="196" t="s">
        <v>137</v>
      </c>
      <c r="AL96" s="197">
        <v>777</v>
      </c>
      <c r="AM96" s="197">
        <v>787</v>
      </c>
      <c r="AN96" s="197">
        <v>797</v>
      </c>
      <c r="AO96" s="197">
        <v>806</v>
      </c>
      <c r="AP96" s="197">
        <v>816</v>
      </c>
      <c r="AQ96" s="197">
        <v>826</v>
      </c>
      <c r="AR96" s="197">
        <v>837</v>
      </c>
      <c r="AS96" s="197">
        <v>847</v>
      </c>
      <c r="AT96" s="197">
        <v>857</v>
      </c>
      <c r="AU96" s="197">
        <v>867</v>
      </c>
      <c r="AV96" s="197">
        <v>878</v>
      </c>
      <c r="AW96" s="197">
        <v>888</v>
      </c>
      <c r="AY96" s="196" t="s">
        <v>141</v>
      </c>
      <c r="AZ96" s="202">
        <v>1478</v>
      </c>
      <c r="BA96" s="202">
        <v>1498</v>
      </c>
      <c r="BB96" s="202">
        <v>1519</v>
      </c>
      <c r="BC96" s="202">
        <v>1539</v>
      </c>
      <c r="BD96" s="202">
        <v>1560</v>
      </c>
      <c r="BE96" s="202">
        <v>1581</v>
      </c>
      <c r="BF96" s="202">
        <v>1602</v>
      </c>
      <c r="BG96" s="202">
        <v>1623</v>
      </c>
      <c r="BH96" s="202">
        <v>1644</v>
      </c>
      <c r="BI96" s="202">
        <v>1666</v>
      </c>
      <c r="BJ96" s="202">
        <v>1687</v>
      </c>
      <c r="BK96" s="202">
        <v>1709</v>
      </c>
    </row>
    <row r="97" spans="37:63" ht="15" hidden="1">
      <c r="AK97" s="196" t="s">
        <v>138</v>
      </c>
      <c r="AL97" s="197">
        <v>899</v>
      </c>
      <c r="AM97" s="197">
        <v>909</v>
      </c>
      <c r="AN97" s="197">
        <v>920</v>
      </c>
      <c r="AO97" s="197">
        <v>931</v>
      </c>
      <c r="AP97" s="197">
        <v>942</v>
      </c>
      <c r="AQ97" s="197">
        <v>953</v>
      </c>
      <c r="AR97" s="197">
        <v>964</v>
      </c>
      <c r="AS97" s="197">
        <v>975</v>
      </c>
      <c r="AT97" s="197">
        <v>986</v>
      </c>
      <c r="AU97" s="197">
        <v>997</v>
      </c>
      <c r="AV97" s="197">
        <v>1009</v>
      </c>
      <c r="AW97" s="197">
        <v>1020</v>
      </c>
      <c r="AY97" s="196" t="s">
        <v>142</v>
      </c>
      <c r="AZ97" s="202">
        <v>1731</v>
      </c>
      <c r="BA97" s="202">
        <v>1753</v>
      </c>
      <c r="BB97" s="202">
        <v>1775</v>
      </c>
      <c r="BC97" s="202">
        <v>1798</v>
      </c>
      <c r="BD97" s="202">
        <v>1820</v>
      </c>
      <c r="BE97" s="202">
        <v>1843</v>
      </c>
      <c r="BF97" s="202">
        <v>1865</v>
      </c>
      <c r="BG97" s="202">
        <v>1888</v>
      </c>
      <c r="BH97" s="202">
        <v>1911</v>
      </c>
      <c r="BI97" s="202">
        <v>1935</v>
      </c>
      <c r="BJ97" s="202">
        <v>1958</v>
      </c>
      <c r="BK97" s="202">
        <v>1981</v>
      </c>
    </row>
    <row r="98" spans="37:63" ht="15" hidden="1">
      <c r="AK98" s="196" t="s">
        <v>139</v>
      </c>
      <c r="AL98" s="197">
        <v>1031</v>
      </c>
      <c r="AM98" s="197">
        <v>1041</v>
      </c>
      <c r="AN98" s="197">
        <v>1051</v>
      </c>
      <c r="AO98" s="197">
        <v>1062</v>
      </c>
      <c r="AP98" s="197">
        <v>1072</v>
      </c>
      <c r="AQ98" s="197">
        <v>1083</v>
      </c>
      <c r="AR98" s="197">
        <v>1094</v>
      </c>
      <c r="AS98" s="197">
        <v>1104</v>
      </c>
      <c r="AT98" s="197">
        <v>1115</v>
      </c>
      <c r="AU98" s="197">
        <v>1126</v>
      </c>
      <c r="AV98" s="197">
        <v>1137</v>
      </c>
      <c r="AW98" s="197">
        <v>1148</v>
      </c>
      <c r="AY98" s="196" t="s">
        <v>143</v>
      </c>
      <c r="AZ98" s="202">
        <v>2005</v>
      </c>
      <c r="BA98" s="202">
        <v>2029</v>
      </c>
      <c r="BB98" s="202">
        <v>2053</v>
      </c>
      <c r="BC98" s="202">
        <v>2077</v>
      </c>
      <c r="BD98" s="202">
        <v>2101</v>
      </c>
      <c r="BE98" s="202">
        <v>2126</v>
      </c>
      <c r="BF98" s="202">
        <v>2151</v>
      </c>
      <c r="BG98" s="202">
        <v>2175</v>
      </c>
      <c r="BH98" s="202">
        <v>2200</v>
      </c>
      <c r="BI98" s="202">
        <v>2226</v>
      </c>
      <c r="BJ98" s="202">
        <v>2251</v>
      </c>
      <c r="BK98" s="202">
        <v>2276</v>
      </c>
    </row>
    <row r="99" spans="37:63" ht="15" hidden="1">
      <c r="AK99" s="196" t="s">
        <v>140</v>
      </c>
      <c r="AL99" s="197">
        <v>1159</v>
      </c>
      <c r="AM99" s="197">
        <v>1170</v>
      </c>
      <c r="AN99" s="197">
        <v>1182</v>
      </c>
      <c r="AO99" s="197">
        <v>1193</v>
      </c>
      <c r="AP99" s="197">
        <v>1204</v>
      </c>
      <c r="AQ99" s="197">
        <v>1216</v>
      </c>
      <c r="AR99" s="197">
        <v>1227</v>
      </c>
      <c r="AS99" s="197">
        <v>1239</v>
      </c>
      <c r="AT99" s="197">
        <v>1251</v>
      </c>
      <c r="AU99" s="197">
        <v>1262</v>
      </c>
      <c r="AV99" s="197">
        <v>1274</v>
      </c>
      <c r="AW99" s="197">
        <v>1286</v>
      </c>
      <c r="AY99" s="196" t="s">
        <v>144</v>
      </c>
      <c r="AZ99" s="202">
        <v>2302</v>
      </c>
      <c r="BA99" s="202">
        <v>2328</v>
      </c>
      <c r="BB99" s="202">
        <v>2354</v>
      </c>
      <c r="BC99" s="202">
        <v>2380</v>
      </c>
      <c r="BD99" s="202">
        <v>2406</v>
      </c>
      <c r="BE99" s="202">
        <v>2433</v>
      </c>
      <c r="BF99" s="202">
        <v>2460</v>
      </c>
      <c r="BG99" s="202">
        <v>2486</v>
      </c>
      <c r="BH99" s="202">
        <v>2514</v>
      </c>
      <c r="BI99" s="202">
        <v>2541</v>
      </c>
      <c r="BJ99" s="202">
        <v>2568</v>
      </c>
      <c r="BK99" s="202">
        <v>2596</v>
      </c>
    </row>
    <row r="100" spans="37:63" ht="15" hidden="1">
      <c r="AK100" s="196" t="s">
        <v>141</v>
      </c>
      <c r="AL100" s="197">
        <v>1298</v>
      </c>
      <c r="AM100" s="197">
        <v>1310</v>
      </c>
      <c r="AN100" s="197">
        <v>1323</v>
      </c>
      <c r="AO100" s="197">
        <v>1335</v>
      </c>
      <c r="AP100" s="197">
        <v>1347</v>
      </c>
      <c r="AQ100" s="197">
        <v>1359</v>
      </c>
      <c r="AR100" s="197">
        <v>1372</v>
      </c>
      <c r="AS100" s="197">
        <v>1385</v>
      </c>
      <c r="AT100" s="197">
        <v>1398</v>
      </c>
      <c r="AU100" s="197">
        <v>1410</v>
      </c>
      <c r="AV100" s="197">
        <v>1423</v>
      </c>
      <c r="AW100" s="197">
        <v>1436</v>
      </c>
      <c r="AY100" s="196" t="s">
        <v>145</v>
      </c>
      <c r="AZ100" s="202">
        <v>2624</v>
      </c>
      <c r="BA100" s="202">
        <v>2651</v>
      </c>
      <c r="BB100" s="202">
        <v>2680</v>
      </c>
      <c r="BC100" s="202">
        <v>2708</v>
      </c>
      <c r="BD100" s="202">
        <v>2736</v>
      </c>
      <c r="BE100" s="202">
        <v>2765</v>
      </c>
      <c r="BF100" s="202">
        <v>2794</v>
      </c>
      <c r="BG100" s="202">
        <v>2823</v>
      </c>
      <c r="BH100" s="202">
        <v>2852</v>
      </c>
      <c r="BI100" s="202">
        <v>2882</v>
      </c>
      <c r="BJ100" s="202">
        <v>2912</v>
      </c>
      <c r="BK100" s="202">
        <v>2942</v>
      </c>
    </row>
    <row r="101" spans="37:63" ht="15" hidden="1">
      <c r="AK101" s="196" t="s">
        <v>142</v>
      </c>
      <c r="AL101" s="197">
        <v>1449</v>
      </c>
      <c r="AM101" s="197">
        <v>1462</v>
      </c>
      <c r="AN101" s="197">
        <v>1475</v>
      </c>
      <c r="AO101" s="197">
        <v>1489</v>
      </c>
      <c r="AP101" s="197">
        <v>1502</v>
      </c>
      <c r="AQ101" s="197">
        <v>1516</v>
      </c>
      <c r="AR101" s="197">
        <v>1529</v>
      </c>
      <c r="AS101" s="197">
        <v>1543</v>
      </c>
      <c r="AT101" s="197">
        <v>1557</v>
      </c>
      <c r="AU101" s="197">
        <v>1570</v>
      </c>
      <c r="AV101" s="197">
        <v>1584</v>
      </c>
      <c r="AW101" s="197">
        <v>1598</v>
      </c>
      <c r="AY101" s="196" t="s">
        <v>146</v>
      </c>
      <c r="AZ101" s="202">
        <v>2972</v>
      </c>
      <c r="BA101" s="202">
        <v>3003</v>
      </c>
      <c r="BB101" s="202">
        <v>3035</v>
      </c>
      <c r="BC101" s="202">
        <v>3068</v>
      </c>
      <c r="BD101" s="202">
        <v>3100</v>
      </c>
      <c r="BE101" s="202">
        <v>3133</v>
      </c>
      <c r="BF101" s="202">
        <v>3166</v>
      </c>
      <c r="BG101" s="202">
        <v>3199</v>
      </c>
      <c r="BH101" s="202">
        <v>3232</v>
      </c>
      <c r="BI101" s="202">
        <v>3266</v>
      </c>
      <c r="BJ101" s="202">
        <v>3299</v>
      </c>
      <c r="BK101" s="202">
        <v>3334</v>
      </c>
    </row>
    <row r="102" spans="37:63" ht="15" hidden="1">
      <c r="AK102" s="196" t="s">
        <v>143</v>
      </c>
      <c r="AL102" s="197">
        <v>1612</v>
      </c>
      <c r="AM102" s="197">
        <v>1626</v>
      </c>
      <c r="AN102" s="197">
        <v>1641</v>
      </c>
      <c r="AO102" s="197">
        <v>1655</v>
      </c>
      <c r="AP102" s="197">
        <v>1669</v>
      </c>
      <c r="AQ102" s="197">
        <v>1684</v>
      </c>
      <c r="AR102" s="197">
        <v>1699</v>
      </c>
      <c r="AS102" s="197">
        <v>1713</v>
      </c>
      <c r="AT102" s="197">
        <v>1729</v>
      </c>
      <c r="AU102" s="197">
        <v>1743</v>
      </c>
      <c r="AV102" s="197">
        <v>1758</v>
      </c>
      <c r="AW102" s="197">
        <v>1774</v>
      </c>
      <c r="AY102" s="196" t="s">
        <v>242</v>
      </c>
      <c r="AZ102" s="202">
        <v>3368</v>
      </c>
      <c r="BA102" s="202">
        <v>3402</v>
      </c>
      <c r="BB102" s="202">
        <v>3437</v>
      </c>
      <c r="BC102" s="202">
        <v>3472</v>
      </c>
      <c r="BD102" s="202">
        <v>3508</v>
      </c>
      <c r="BE102" s="203">
        <v>3543</v>
      </c>
      <c r="BF102" s="203">
        <v>3579</v>
      </c>
      <c r="BG102" s="203">
        <v>3616</v>
      </c>
      <c r="BH102" s="203">
        <v>3652</v>
      </c>
      <c r="BI102" s="203">
        <v>3689</v>
      </c>
      <c r="BJ102" s="203">
        <v>3726</v>
      </c>
      <c r="BK102" s="203">
        <v>3763</v>
      </c>
    </row>
    <row r="103" spans="37:63" ht="15" hidden="1">
      <c r="AK103" s="196" t="s">
        <v>144</v>
      </c>
      <c r="AL103" s="197">
        <v>1789</v>
      </c>
      <c r="AM103" s="197">
        <v>1804</v>
      </c>
      <c r="AN103" s="197">
        <v>1820</v>
      </c>
      <c r="AO103" s="197">
        <v>1835</v>
      </c>
      <c r="AP103" s="197">
        <v>1851</v>
      </c>
      <c r="AQ103" s="197">
        <v>1867</v>
      </c>
      <c r="AR103" s="197">
        <v>1882</v>
      </c>
      <c r="AS103" s="197">
        <v>1898</v>
      </c>
      <c r="AT103" s="197">
        <v>1915</v>
      </c>
      <c r="AU103" s="197">
        <v>1931</v>
      </c>
      <c r="AV103" s="197">
        <v>1947</v>
      </c>
      <c r="AW103" s="197">
        <v>1964</v>
      </c>
      <c r="AY103" s="195" t="s">
        <v>314</v>
      </c>
      <c r="AZ103" s="203">
        <v>3801</v>
      </c>
      <c r="BA103" s="203">
        <v>3839</v>
      </c>
      <c r="BB103" s="203">
        <v>3877</v>
      </c>
      <c r="BC103" s="203">
        <v>3915</v>
      </c>
      <c r="BD103" s="203">
        <v>3954</v>
      </c>
      <c r="BE103"/>
      <c r="BF103"/>
      <c r="BG103"/>
      <c r="BH103"/>
      <c r="BI103"/>
      <c r="BJ103"/>
      <c r="BK103"/>
    </row>
    <row r="104" spans="37:49" ht="15" hidden="1">
      <c r="AK104" s="196" t="s">
        <v>145</v>
      </c>
      <c r="AL104" s="197">
        <v>1980</v>
      </c>
      <c r="AM104" s="197">
        <v>1997</v>
      </c>
      <c r="AN104" s="197">
        <v>2013</v>
      </c>
      <c r="AO104" s="197">
        <v>2030</v>
      </c>
      <c r="AP104" s="197">
        <v>2047</v>
      </c>
      <c r="AQ104" s="197">
        <v>2064</v>
      </c>
      <c r="AR104" s="197">
        <v>2081</v>
      </c>
      <c r="AS104" s="197">
        <v>2099</v>
      </c>
      <c r="AT104" s="197">
        <v>2116</v>
      </c>
      <c r="AU104" s="197">
        <v>2134</v>
      </c>
      <c r="AV104" s="197">
        <v>2151</v>
      </c>
      <c r="AW104" s="197">
        <v>2169</v>
      </c>
    </row>
    <row r="105" spans="37:49" ht="15" hidden="1">
      <c r="AK105" s="196" t="s">
        <v>146</v>
      </c>
      <c r="AL105" s="197">
        <v>2187</v>
      </c>
      <c r="AM105" s="197">
        <v>2206</v>
      </c>
      <c r="AN105" s="197">
        <v>2226</v>
      </c>
      <c r="AO105" s="197">
        <v>2245</v>
      </c>
      <c r="AP105" s="197">
        <v>2265</v>
      </c>
      <c r="AQ105" s="197">
        <v>2285</v>
      </c>
      <c r="AR105" s="197">
        <v>2305</v>
      </c>
      <c r="AS105" s="197">
        <v>2325</v>
      </c>
      <c r="AT105" s="197">
        <v>2346</v>
      </c>
      <c r="AU105" s="197">
        <v>2366</v>
      </c>
      <c r="AV105" s="197">
        <v>2386</v>
      </c>
      <c r="AW105" s="197">
        <v>2407</v>
      </c>
    </row>
    <row r="106" spans="2:49" ht="15" hidden="1">
      <c r="B106" s="194">
        <f>G28</f>
        <v>16302</v>
      </c>
      <c r="C106" s="62">
        <f>(B106-B109)/1000</f>
        <v>16</v>
      </c>
      <c r="D106" s="62"/>
      <c r="E106" s="62"/>
      <c r="F106" s="62"/>
      <c r="G106" s="62"/>
      <c r="H106" s="62"/>
      <c r="I106" s="62"/>
      <c r="J106" s="62"/>
      <c r="L106" s="62"/>
      <c r="M106" s="62"/>
      <c r="N106" s="62"/>
      <c r="O106" s="62"/>
      <c r="P106" s="62">
        <v>1</v>
      </c>
      <c r="Q106" s="62" t="s">
        <v>38</v>
      </c>
      <c r="R106" s="62"/>
      <c r="AK106" s="196" t="s">
        <v>242</v>
      </c>
      <c r="AL106" s="197">
        <v>2428</v>
      </c>
      <c r="AM106" s="197">
        <v>2449</v>
      </c>
      <c r="AN106" s="197">
        <v>2471</v>
      </c>
      <c r="AO106" s="197">
        <v>2492</v>
      </c>
      <c r="AP106" s="197">
        <v>2513</v>
      </c>
      <c r="AQ106" s="199">
        <v>2535</v>
      </c>
      <c r="AR106" s="199">
        <v>2557</v>
      </c>
      <c r="AS106" s="199">
        <v>2579</v>
      </c>
      <c r="AT106" s="199">
        <v>2602</v>
      </c>
      <c r="AU106" s="199">
        <v>2624</v>
      </c>
      <c r="AV106" s="199">
        <v>2647</v>
      </c>
      <c r="AW106" s="199">
        <v>2670</v>
      </c>
    </row>
    <row r="107" spans="2:49" ht="15" hidden="1">
      <c r="B107" s="62">
        <f>(C106-B108)/100</f>
        <v>0</v>
      </c>
      <c r="C107" s="62">
        <f>B107</f>
        <v>0</v>
      </c>
      <c r="D107" s="62">
        <f>RIGHT(C107,2)*1</f>
        <v>0</v>
      </c>
      <c r="E107" s="62">
        <f>(C107-D107)/100</f>
        <v>0</v>
      </c>
      <c r="F107" s="62">
        <f>(D107-RIGHT(D107,1)*1)/10</f>
        <v>0</v>
      </c>
      <c r="G107" s="62">
        <f>RIGHT(C107,1)*1</f>
        <v>0</v>
      </c>
      <c r="H107" s="62" t="str">
        <f>IF(F107=P107,R107,IF(F107=P108,R108,IF(F107=P109,R109,IF(F107=P110,R110,IF(F107=P111,R111,IF(F107=P112,R112,IF(F107=P113,R113,IF(F107=P114,R114," "))))))))</f>
        <v> </v>
      </c>
      <c r="I107" s="62" t="str">
        <f>IF(F107=1," ",IF(G107=P106,Q106,IF(G107=P107,Q107,IF(G107=P108,Q108,IF(G107=P109,Q109,IF(G107=P110,Q110,IF(G107=P111,Q111," ")))))))</f>
        <v> </v>
      </c>
      <c r="J107" s="62" t="str">
        <f>IF(F107=1," ",IF(G107=P112,Q112,IF(G107=P113,Q113,IF(G107=P114,Q114," "))))</f>
        <v> </v>
      </c>
      <c r="L107" s="62" t="str">
        <f>IF(F107=0," ",IF(F107&gt;1," ",IF(G107=P107,Q117,IF(G107=P108,Q118,IF(G107=P109,Q119,IF(G107=P110,Q120,IF(G107=P111,Q121,IF(G107=P112,Q122," "))))))))</f>
        <v> </v>
      </c>
      <c r="M107" s="62" t="str">
        <f>IF(F107=0," ",IF(F107&gt;1," ",IF(G107=P113,Q123,IF(G107=P114,Q124,IF(G107=P106,Q116,IF(G107=0,Q115," "))))))</f>
        <v> </v>
      </c>
      <c r="N107" s="62" t="str">
        <f>IF(F107=0," ","lakh")</f>
        <v> </v>
      </c>
      <c r="O107" s="62" t="str">
        <f>IF(G107=0," ",IF(F107&gt;0," ","lakh"))</f>
        <v> </v>
      </c>
      <c r="P107" s="62">
        <v>2</v>
      </c>
      <c r="Q107" s="62" t="s">
        <v>39</v>
      </c>
      <c r="R107" s="62" t="s">
        <v>40</v>
      </c>
      <c r="AK107" s="195" t="s">
        <v>314</v>
      </c>
      <c r="AL107" s="199">
        <v>2693</v>
      </c>
      <c r="AM107" s="199">
        <v>2716</v>
      </c>
      <c r="AN107" s="199">
        <v>2740</v>
      </c>
      <c r="AO107" s="199">
        <v>2763</v>
      </c>
      <c r="AP107" s="199">
        <v>2787</v>
      </c>
      <c r="AQ107"/>
      <c r="AR107"/>
      <c r="AS107"/>
      <c r="AT107"/>
      <c r="AU107"/>
      <c r="AV107"/>
      <c r="AW107"/>
    </row>
    <row r="108" spans="2:63" ht="15" hidden="1">
      <c r="B108" s="62">
        <f>RIGHT(C106,2)*1</f>
        <v>16</v>
      </c>
      <c r="C108" s="62">
        <f>B108</f>
        <v>16</v>
      </c>
      <c r="D108" s="62">
        <f>RIGHT(C108,2)*1</f>
        <v>16</v>
      </c>
      <c r="E108" s="62">
        <f>(C108-D108)/100</f>
        <v>0</v>
      </c>
      <c r="F108" s="62">
        <f>(D108-RIGHT(D108,1)*1)/10</f>
        <v>1</v>
      </c>
      <c r="G108" s="62">
        <f>RIGHT(C108,1)*1</f>
        <v>6</v>
      </c>
      <c r="H108" s="62" t="str">
        <f>IF(F108=P107,R107,IF(F108=P108,R108,IF(F108=P109,R109,IF(F108=P110,R110,IF(F108=P111,R111,IF(F108=P112,R112,IF(F108=P113,R113,IF(F108=P114,R114," "))))))))</f>
        <v> </v>
      </c>
      <c r="I108" s="62" t="str">
        <f>IF(F108=1," ",IF(G108=P106,Q106,IF(G108=P107,Q107,IF(G108=P108,Q108,IF(G108=P109,Q109,IF(G108=P110,Q110,IF(G108=P111,Q111," ")))))))</f>
        <v> </v>
      </c>
      <c r="J108" s="62" t="str">
        <f>IF(F108=1," ",IF(G108=P112,Q112,IF(G108=P113,Q113,IF(G108=P114,Q114," "))))</f>
        <v> </v>
      </c>
      <c r="L108" s="62" t="str">
        <f>IF(F108=0," ",IF(F108&gt;1," ",IF(G108=P107,Q117,IF(G108=P108,Q118,IF(G108=P109,Q119,IF(G108=P110,Q120,IF(G108=P111,Q121,IF(G108=P112,Q122," "))))))))</f>
        <v>Sixteen</v>
      </c>
      <c r="M108" s="62" t="str">
        <f>IF(F108=0," ",IF(F108&gt;1," ",IF(G108=P113,Q123,IF(G108=P114,Q124,IF(G108=P106,Q116,IF(G108=0,Q115," "))))))</f>
        <v> </v>
      </c>
      <c r="N108" s="62" t="str">
        <f>IF(G108=0," ","thousand")</f>
        <v>thousand</v>
      </c>
      <c r="P108" s="62">
        <v>3</v>
      </c>
      <c r="Q108" s="62" t="s">
        <v>41</v>
      </c>
      <c r="R108" s="62" t="s">
        <v>42</v>
      </c>
      <c r="AK108" s="195" t="s">
        <v>151</v>
      </c>
      <c r="AL108" s="196" t="s">
        <v>116</v>
      </c>
      <c r="AM108" s="196" t="s">
        <v>117</v>
      </c>
      <c r="AN108" s="196" t="s">
        <v>118</v>
      </c>
      <c r="AO108" s="196" t="s">
        <v>124</v>
      </c>
      <c r="AP108" s="196" t="s">
        <v>125</v>
      </c>
      <c r="AQ108" s="196" t="s">
        <v>126</v>
      </c>
      <c r="AR108" s="196" t="s">
        <v>119</v>
      </c>
      <c r="AS108" s="196" t="s">
        <v>149</v>
      </c>
      <c r="AT108" s="196" t="s">
        <v>121</v>
      </c>
      <c r="AU108" s="196" t="s">
        <v>122</v>
      </c>
      <c r="AV108" s="196" t="s">
        <v>241</v>
      </c>
      <c r="AW108" s="196" t="s">
        <v>128</v>
      </c>
      <c r="AY108" s="201" t="s">
        <v>123</v>
      </c>
      <c r="AZ108" s="201" t="s">
        <v>116</v>
      </c>
      <c r="BA108" s="201" t="s">
        <v>117</v>
      </c>
      <c r="BB108" s="201" t="s">
        <v>118</v>
      </c>
      <c r="BC108" s="201" t="s">
        <v>124</v>
      </c>
      <c r="BD108" s="201" t="s">
        <v>125</v>
      </c>
      <c r="BE108" s="201" t="s">
        <v>126</v>
      </c>
      <c r="BF108" s="201" t="s">
        <v>119</v>
      </c>
      <c r="BG108" s="201" t="s">
        <v>120</v>
      </c>
      <c r="BH108" s="201" t="s">
        <v>121</v>
      </c>
      <c r="BI108" s="201" t="s">
        <v>122</v>
      </c>
      <c r="BJ108" s="201" t="s">
        <v>127</v>
      </c>
      <c r="BK108" s="201" t="s">
        <v>128</v>
      </c>
    </row>
    <row r="109" spans="2:63" ht="15" hidden="1">
      <c r="B109" s="62">
        <f>RIGHT(B106,3)*1</f>
        <v>302</v>
      </c>
      <c r="C109" s="62">
        <f>B109</f>
        <v>302</v>
      </c>
      <c r="D109" s="62">
        <f>ROUND((C109-E110)/100,0)</f>
        <v>3</v>
      </c>
      <c r="E109" s="62"/>
      <c r="F109" s="62"/>
      <c r="G109" s="62"/>
      <c r="H109" s="62"/>
      <c r="I109" s="62" t="str">
        <f>IF(D109=0," ",IF(D109=P106,Q106,IF(D109=P107,Q107,IF(D109=P108,Q108,IF(D109=P109,Q109,IF(D109=P110,Q110,IF(D109=P111,Q111," ")))))))</f>
        <v>Three</v>
      </c>
      <c r="J109" s="62" t="str">
        <f>IF(D109=0," ",IF(D109=P112,Q112,IF(D109=P113,Q113,IF(D109=P114,Q114," "))))</f>
        <v> </v>
      </c>
      <c r="L109" s="62"/>
      <c r="M109" s="62"/>
      <c r="N109" s="62" t="str">
        <f>IF(D109=0," ","hundred")</f>
        <v>hundred</v>
      </c>
      <c r="O109" s="62"/>
      <c r="P109" s="62">
        <v>4</v>
      </c>
      <c r="Q109" s="62" t="s">
        <v>43</v>
      </c>
      <c r="R109" s="62" t="s">
        <v>44</v>
      </c>
      <c r="AK109" s="196" t="s">
        <v>129</v>
      </c>
      <c r="AL109" s="197">
        <v>7</v>
      </c>
      <c r="AM109" s="197">
        <v>13</v>
      </c>
      <c r="AN109" s="197">
        <v>20</v>
      </c>
      <c r="AO109" s="197">
        <v>27</v>
      </c>
      <c r="AP109" s="197">
        <v>34</v>
      </c>
      <c r="AQ109" s="197">
        <v>41</v>
      </c>
      <c r="AR109" s="197">
        <v>48</v>
      </c>
      <c r="AS109" s="197">
        <v>55</v>
      </c>
      <c r="AT109" s="197">
        <v>62</v>
      </c>
      <c r="AU109" s="197">
        <v>69</v>
      </c>
      <c r="AV109" s="197">
        <v>77</v>
      </c>
      <c r="AW109" s="197">
        <v>84</v>
      </c>
      <c r="AY109" s="196" t="s">
        <v>134</v>
      </c>
      <c r="AZ109" s="202">
        <v>11</v>
      </c>
      <c r="BA109" s="202">
        <v>21</v>
      </c>
      <c r="BB109" s="202">
        <v>32</v>
      </c>
      <c r="BC109" s="202">
        <v>43</v>
      </c>
      <c r="BD109" s="202">
        <v>54</v>
      </c>
      <c r="BE109" s="202">
        <v>65</v>
      </c>
      <c r="BF109" s="202">
        <v>76</v>
      </c>
      <c r="BG109" s="202">
        <v>87</v>
      </c>
      <c r="BH109" s="202">
        <v>98</v>
      </c>
      <c r="BI109" s="202">
        <v>110</v>
      </c>
      <c r="BJ109" s="202">
        <v>121</v>
      </c>
      <c r="BK109" s="202">
        <v>133</v>
      </c>
    </row>
    <row r="110" spans="2:63" ht="15" hidden="1">
      <c r="B110" s="62"/>
      <c r="C110" s="62"/>
      <c r="D110" s="62"/>
      <c r="E110" s="62">
        <f>RIGHT(C109,2)*1</f>
        <v>2</v>
      </c>
      <c r="F110" s="62">
        <f>(E110-RIGHT(E110,1)*1)/10</f>
        <v>0</v>
      </c>
      <c r="G110" s="62">
        <f>RIGHT(C109,1)*1</f>
        <v>2</v>
      </c>
      <c r="H110" s="62" t="str">
        <f>IF(F110=P107,R107,IF(F110=P108,R108,IF(F110=P109,R109,IF(F110=P110,R110,IF(F110=P111,R111,IF(F110=P112,R112,IF(F110=P113,R113,IF(F110=P114,R114," "))))))))</f>
        <v> </v>
      </c>
      <c r="I110" s="62" t="str">
        <f>IF(F110=1," ",IF(G110=P106,Q106,IF(G110=P107,Q107,IF(G110=P108,Q108,IF(G110=P109,Q109,IF(G110=P110,Q110,IF(G110=P111,Q111," ")))))))</f>
        <v>Two</v>
      </c>
      <c r="J110" s="62" t="str">
        <f>IF(F110=1," ",IF(G110=P112,Q112,IF(G110=P113,Q113,IF(G110=P114,Q114," "))))</f>
        <v> </v>
      </c>
      <c r="L110" s="62" t="str">
        <f>IF(F110=0," ",IF(F110&gt;1," ",IF(G110=P107,Q117,IF(G110=P108,Q118,IF(G110=P109,Q119,IF(G110=P110,Q120,IF(G110=P111,Q121,IF(G110=P112,Q122," "))))))))</f>
        <v> </v>
      </c>
      <c r="M110" s="62" t="str">
        <f>IF(F110=0," ",IF(F110&gt;1," ",IF(G110=P113,Q123,IF(G110=P114,Q124,IF(G110=P106,Q116,IF(G110=0,Q115," "))))))</f>
        <v> </v>
      </c>
      <c r="N110" s="62"/>
      <c r="O110" s="62"/>
      <c r="P110" s="62">
        <v>5</v>
      </c>
      <c r="Q110" s="62" t="s">
        <v>45</v>
      </c>
      <c r="R110" s="62" t="s">
        <v>46</v>
      </c>
      <c r="AK110" s="196" t="s">
        <v>130</v>
      </c>
      <c r="AL110" s="197">
        <v>91</v>
      </c>
      <c r="AM110" s="197">
        <v>99</v>
      </c>
      <c r="AN110" s="197">
        <v>107</v>
      </c>
      <c r="AO110" s="197">
        <v>114</v>
      </c>
      <c r="AP110" s="197">
        <v>122</v>
      </c>
      <c r="AQ110" s="197">
        <v>130</v>
      </c>
      <c r="AR110" s="197">
        <v>138</v>
      </c>
      <c r="AS110" s="197">
        <v>146</v>
      </c>
      <c r="AT110" s="197">
        <v>154</v>
      </c>
      <c r="AU110" s="197">
        <v>162</v>
      </c>
      <c r="AV110" s="197">
        <v>170</v>
      </c>
      <c r="AW110" s="197">
        <v>178</v>
      </c>
      <c r="AY110" s="196" t="s">
        <v>135</v>
      </c>
      <c r="AZ110" s="202">
        <v>145</v>
      </c>
      <c r="BA110" s="202">
        <v>157</v>
      </c>
      <c r="BB110" s="202">
        <v>169</v>
      </c>
      <c r="BC110" s="202">
        <v>181</v>
      </c>
      <c r="BD110" s="202">
        <v>193</v>
      </c>
      <c r="BE110" s="202">
        <v>205</v>
      </c>
      <c r="BF110" s="202">
        <v>217</v>
      </c>
      <c r="BG110" s="202">
        <v>229</v>
      </c>
      <c r="BH110" s="202">
        <v>241</v>
      </c>
      <c r="BI110" s="202">
        <v>254</v>
      </c>
      <c r="BJ110" s="202">
        <v>266</v>
      </c>
      <c r="BK110" s="202">
        <v>279</v>
      </c>
    </row>
    <row r="111" spans="2:63" ht="15" hidden="1">
      <c r="B111" s="62"/>
      <c r="C111" s="62"/>
      <c r="D111" s="62"/>
      <c r="E111" s="62"/>
      <c r="F111" s="62">
        <f>F110</f>
        <v>0</v>
      </c>
      <c r="G111" s="62">
        <f>G110</f>
        <v>2</v>
      </c>
      <c r="H111" s="62"/>
      <c r="I111" s="62"/>
      <c r="J111" s="62"/>
      <c r="L111" s="62"/>
      <c r="M111" s="62"/>
      <c r="N111" s="62"/>
      <c r="O111" s="62"/>
      <c r="P111" s="62">
        <v>6</v>
      </c>
      <c r="Q111" s="62" t="s">
        <v>47</v>
      </c>
      <c r="R111" s="62" t="s">
        <v>48</v>
      </c>
      <c r="AK111" s="196" t="s">
        <v>131</v>
      </c>
      <c r="AL111" s="197">
        <v>187</v>
      </c>
      <c r="AM111" s="197">
        <v>195</v>
      </c>
      <c r="AN111" s="197">
        <v>204</v>
      </c>
      <c r="AO111" s="197">
        <v>213</v>
      </c>
      <c r="AP111" s="197">
        <v>221</v>
      </c>
      <c r="AQ111" s="197">
        <v>230</v>
      </c>
      <c r="AR111" s="197">
        <v>239</v>
      </c>
      <c r="AS111" s="197">
        <v>248</v>
      </c>
      <c r="AT111" s="197">
        <v>257</v>
      </c>
      <c r="AU111" s="197">
        <v>266</v>
      </c>
      <c r="AV111" s="197">
        <v>275</v>
      </c>
      <c r="AW111" s="197">
        <v>285</v>
      </c>
      <c r="AY111" s="196" t="s">
        <v>136</v>
      </c>
      <c r="AZ111" s="202">
        <v>292</v>
      </c>
      <c r="BA111" s="202">
        <v>304</v>
      </c>
      <c r="BB111" s="202">
        <v>317</v>
      </c>
      <c r="BC111" s="202">
        <v>330</v>
      </c>
      <c r="BD111" s="202">
        <v>343</v>
      </c>
      <c r="BE111" s="202">
        <v>356</v>
      </c>
      <c r="BF111" s="202">
        <v>369</v>
      </c>
      <c r="BG111" s="202">
        <v>383</v>
      </c>
      <c r="BH111" s="202">
        <v>396</v>
      </c>
      <c r="BI111" s="202">
        <v>409</v>
      </c>
      <c r="BJ111" s="202">
        <v>423</v>
      </c>
      <c r="BK111" s="202">
        <v>437</v>
      </c>
    </row>
    <row r="112" spans="2:63" ht="15" hidden="1">
      <c r="B112" s="62"/>
      <c r="C112" s="62"/>
      <c r="D112" s="62"/>
      <c r="E112" s="62"/>
      <c r="F112" s="62"/>
      <c r="G112" s="62"/>
      <c r="H112" s="62"/>
      <c r="I112" s="62"/>
      <c r="J112" s="62"/>
      <c r="L112" s="62"/>
      <c r="M112" s="62"/>
      <c r="N112" s="62"/>
      <c r="O112" s="62"/>
      <c r="P112" s="62">
        <v>7</v>
      </c>
      <c r="Q112" s="62" t="s">
        <v>49</v>
      </c>
      <c r="R112" s="62" t="s">
        <v>50</v>
      </c>
      <c r="AK112" s="196" t="s">
        <v>132</v>
      </c>
      <c r="AL112" s="197">
        <v>294</v>
      </c>
      <c r="AM112" s="197">
        <v>304</v>
      </c>
      <c r="AN112" s="197">
        <v>313</v>
      </c>
      <c r="AO112" s="197">
        <v>323</v>
      </c>
      <c r="AP112" s="197">
        <v>333</v>
      </c>
      <c r="AQ112" s="197">
        <v>343</v>
      </c>
      <c r="AR112" s="197">
        <v>353</v>
      </c>
      <c r="AS112" s="197">
        <v>363</v>
      </c>
      <c r="AT112" s="197">
        <v>373</v>
      </c>
      <c r="AU112" s="197">
        <v>384</v>
      </c>
      <c r="AV112" s="197">
        <v>394</v>
      </c>
      <c r="AW112" s="197">
        <v>405</v>
      </c>
      <c r="AY112" s="196" t="s">
        <v>137</v>
      </c>
      <c r="AZ112" s="202">
        <v>450</v>
      </c>
      <c r="BA112" s="202">
        <v>464</v>
      </c>
      <c r="BB112" s="202">
        <v>478</v>
      </c>
      <c r="BC112" s="202">
        <v>492</v>
      </c>
      <c r="BD112" s="202">
        <v>506</v>
      </c>
      <c r="BE112" s="202">
        <v>521</v>
      </c>
      <c r="BF112" s="202">
        <v>535</v>
      </c>
      <c r="BG112" s="202">
        <v>550</v>
      </c>
      <c r="BH112" s="202">
        <v>564</v>
      </c>
      <c r="BI112" s="202">
        <v>579</v>
      </c>
      <c r="BJ112" s="202">
        <v>594</v>
      </c>
      <c r="BK112" s="202">
        <v>609</v>
      </c>
    </row>
    <row r="113" spans="2:63" ht="15" hidden="1">
      <c r="B113" s="62"/>
      <c r="C113" s="62"/>
      <c r="D113" s="62"/>
      <c r="E113" s="62"/>
      <c r="F113" s="62"/>
      <c r="G113" s="62"/>
      <c r="H113" s="62"/>
      <c r="I113" s="62"/>
      <c r="J113" s="62"/>
      <c r="L113" s="62"/>
      <c r="M113" s="62"/>
      <c r="N113" s="62"/>
      <c r="O113" s="62"/>
      <c r="P113" s="62">
        <v>8</v>
      </c>
      <c r="Q113" s="62" t="s">
        <v>51</v>
      </c>
      <c r="R113" s="62" t="s">
        <v>52</v>
      </c>
      <c r="AK113" s="196" t="s">
        <v>133</v>
      </c>
      <c r="AL113" s="197">
        <v>415</v>
      </c>
      <c r="AM113" s="197">
        <v>426</v>
      </c>
      <c r="AN113" s="197">
        <v>437</v>
      </c>
      <c r="AO113" s="197">
        <v>448</v>
      </c>
      <c r="AP113" s="197">
        <v>459</v>
      </c>
      <c r="AQ113" s="197">
        <v>470</v>
      </c>
      <c r="AR113" s="197">
        <v>481</v>
      </c>
      <c r="AS113" s="197">
        <v>493</v>
      </c>
      <c r="AT113" s="197">
        <v>504</v>
      </c>
      <c r="AU113" s="197">
        <v>516</v>
      </c>
      <c r="AV113" s="197">
        <v>527</v>
      </c>
      <c r="AW113" s="197">
        <v>539</v>
      </c>
      <c r="AY113" s="196" t="s">
        <v>138</v>
      </c>
      <c r="AZ113" s="202">
        <v>624</v>
      </c>
      <c r="BA113" s="202">
        <v>639</v>
      </c>
      <c r="BB113" s="202">
        <v>654</v>
      </c>
      <c r="BC113" s="202">
        <v>669</v>
      </c>
      <c r="BD113" s="202">
        <v>685</v>
      </c>
      <c r="BE113" s="202">
        <v>701</v>
      </c>
      <c r="BF113" s="202">
        <v>716</v>
      </c>
      <c r="BG113" s="202">
        <v>732</v>
      </c>
      <c r="BH113" s="202">
        <v>748</v>
      </c>
      <c r="BI113" s="202">
        <v>764</v>
      </c>
      <c r="BJ113" s="202">
        <v>780</v>
      </c>
      <c r="BK113" s="202">
        <v>797</v>
      </c>
    </row>
    <row r="114" spans="2:63" ht="15" hidden="1">
      <c r="B114" s="62">
        <f>TRIM(H107&amp;" "&amp;I107&amp;" "&amp;J107&amp;" "&amp;L107&amp;" "&amp;M107&amp;" "&amp;N107&amp;" "&amp;O107)</f>
      </c>
      <c r="C114" s="62"/>
      <c r="D114" s="62"/>
      <c r="E114" s="62"/>
      <c r="F114" s="62"/>
      <c r="G114" s="62"/>
      <c r="H114" s="62"/>
      <c r="I114" s="62"/>
      <c r="J114" s="62"/>
      <c r="L114" s="62"/>
      <c r="M114" s="62"/>
      <c r="N114" s="62"/>
      <c r="O114" s="62"/>
      <c r="P114" s="62">
        <v>9</v>
      </c>
      <c r="Q114" s="62" t="s">
        <v>53</v>
      </c>
      <c r="R114" s="62" t="s">
        <v>54</v>
      </c>
      <c r="AK114" s="196" t="s">
        <v>134</v>
      </c>
      <c r="AL114" s="197">
        <v>551</v>
      </c>
      <c r="AM114" s="197">
        <v>563</v>
      </c>
      <c r="AN114" s="197">
        <v>576</v>
      </c>
      <c r="AO114" s="197">
        <v>588</v>
      </c>
      <c r="AP114" s="197">
        <v>600</v>
      </c>
      <c r="AQ114" s="197">
        <v>612</v>
      </c>
      <c r="AR114" s="197">
        <v>623</v>
      </c>
      <c r="AS114" s="197">
        <v>635</v>
      </c>
      <c r="AT114" s="197">
        <v>647</v>
      </c>
      <c r="AU114" s="197">
        <v>659</v>
      </c>
      <c r="AV114" s="197">
        <v>671</v>
      </c>
      <c r="AW114" s="197">
        <v>683</v>
      </c>
      <c r="AY114" s="196" t="s">
        <v>139</v>
      </c>
      <c r="AZ114" s="202">
        <v>812</v>
      </c>
      <c r="BA114" s="202">
        <v>828</v>
      </c>
      <c r="BB114" s="202">
        <v>844</v>
      </c>
      <c r="BC114" s="202">
        <v>860</v>
      </c>
      <c r="BD114" s="202">
        <v>877</v>
      </c>
      <c r="BE114" s="202">
        <v>893</v>
      </c>
      <c r="BF114" s="202">
        <v>909</v>
      </c>
      <c r="BG114" s="202">
        <v>926</v>
      </c>
      <c r="BH114" s="202">
        <v>943</v>
      </c>
      <c r="BI114" s="202">
        <v>959</v>
      </c>
      <c r="BJ114" s="202">
        <v>976</v>
      </c>
      <c r="BK114" s="202">
        <v>993</v>
      </c>
    </row>
    <row r="115" spans="2:63" ht="15" hidden="1">
      <c r="B115" s="62" t="str">
        <f>TRIM(H108&amp;" "&amp;I108&amp;" "&amp;J108&amp;" "&amp;L108&amp;" "&amp;M108&amp;" "&amp;N108&amp;" "&amp;O121)</f>
        <v>Sixteen thousand</v>
      </c>
      <c r="C115" s="62"/>
      <c r="D115" s="62"/>
      <c r="E115" s="62"/>
      <c r="F115" s="62"/>
      <c r="G115" s="62"/>
      <c r="H115" s="62"/>
      <c r="I115" s="62"/>
      <c r="J115" s="62"/>
      <c r="L115" s="62"/>
      <c r="M115" s="62"/>
      <c r="N115" s="62"/>
      <c r="O115" s="62"/>
      <c r="P115" s="62">
        <v>10</v>
      </c>
      <c r="Q115" s="62" t="s">
        <v>55</v>
      </c>
      <c r="R115" s="62"/>
      <c r="AK115" s="196" t="s">
        <v>135</v>
      </c>
      <c r="AL115" s="197">
        <v>695</v>
      </c>
      <c r="AM115" s="197">
        <v>708</v>
      </c>
      <c r="AN115" s="197">
        <v>720</v>
      </c>
      <c r="AO115" s="197">
        <v>733</v>
      </c>
      <c r="AP115" s="197">
        <v>745</v>
      </c>
      <c r="AQ115" s="197">
        <v>757</v>
      </c>
      <c r="AR115" s="197">
        <v>768</v>
      </c>
      <c r="AS115" s="197">
        <v>779</v>
      </c>
      <c r="AT115" s="197">
        <v>790</v>
      </c>
      <c r="AU115" s="197">
        <v>802</v>
      </c>
      <c r="AV115" s="197">
        <v>813</v>
      </c>
      <c r="AW115" s="197">
        <v>825</v>
      </c>
      <c r="AY115" s="196" t="s">
        <v>140</v>
      </c>
      <c r="AZ115" s="202">
        <v>1010</v>
      </c>
      <c r="BA115" s="202">
        <v>1028</v>
      </c>
      <c r="BB115" s="202">
        <v>1045</v>
      </c>
      <c r="BC115" s="202">
        <v>1062</v>
      </c>
      <c r="BD115" s="202">
        <v>1080</v>
      </c>
      <c r="BE115" s="202">
        <v>1098</v>
      </c>
      <c r="BF115" s="202">
        <v>1116</v>
      </c>
      <c r="BG115" s="202">
        <v>1133</v>
      </c>
      <c r="BH115" s="202">
        <v>1151</v>
      </c>
      <c r="BI115" s="202">
        <v>1170</v>
      </c>
      <c r="BJ115" s="202">
        <v>1188</v>
      </c>
      <c r="BK115" s="202">
        <v>1206</v>
      </c>
    </row>
    <row r="116" spans="2:63" ht="15" hidden="1">
      <c r="B116" s="62" t="str">
        <f>TRIM(H109&amp;" "&amp;I109&amp;" "&amp;J109&amp;" "&amp;L109&amp;" "&amp;M109&amp;" "&amp;N109&amp;" "&amp;O109)</f>
        <v>Three hundred</v>
      </c>
      <c r="C116" s="62"/>
      <c r="D116" s="62"/>
      <c r="E116" s="62"/>
      <c r="F116" s="62"/>
      <c r="G116" s="62"/>
      <c r="H116" s="62"/>
      <c r="I116" s="62"/>
      <c r="J116" s="62"/>
      <c r="L116" s="62"/>
      <c r="M116" s="62"/>
      <c r="N116" s="62"/>
      <c r="O116" s="62"/>
      <c r="P116" s="62">
        <v>11</v>
      </c>
      <c r="Q116" s="62" t="s">
        <v>56</v>
      </c>
      <c r="R116" s="62"/>
      <c r="AK116" s="196" t="s">
        <v>136</v>
      </c>
      <c r="AL116" s="197">
        <v>837</v>
      </c>
      <c r="AM116" s="197">
        <v>849</v>
      </c>
      <c r="AN116" s="197">
        <v>861</v>
      </c>
      <c r="AO116" s="197">
        <v>873</v>
      </c>
      <c r="AP116" s="197">
        <v>885</v>
      </c>
      <c r="AQ116" s="197">
        <v>896</v>
      </c>
      <c r="AR116" s="197">
        <v>908</v>
      </c>
      <c r="AS116" s="197">
        <v>920</v>
      </c>
      <c r="AT116" s="197">
        <v>932</v>
      </c>
      <c r="AU116" s="197">
        <v>943</v>
      </c>
      <c r="AV116" s="197">
        <v>955</v>
      </c>
      <c r="AW116" s="197">
        <v>968</v>
      </c>
      <c r="AY116" s="196" t="s">
        <v>141</v>
      </c>
      <c r="AZ116" s="202">
        <v>1225</v>
      </c>
      <c r="BA116" s="202">
        <v>1243</v>
      </c>
      <c r="BB116" s="202">
        <v>1262</v>
      </c>
      <c r="BC116" s="202">
        <v>1281</v>
      </c>
      <c r="BD116" s="202">
        <v>1300</v>
      </c>
      <c r="BE116" s="202">
        <v>1319</v>
      </c>
      <c r="BF116" s="202">
        <v>1339</v>
      </c>
      <c r="BG116" s="202">
        <v>1358</v>
      </c>
      <c r="BH116" s="202">
        <v>1378</v>
      </c>
      <c r="BI116" s="202">
        <v>1397</v>
      </c>
      <c r="BJ116" s="202">
        <v>1417</v>
      </c>
      <c r="BK116" s="202">
        <v>1437</v>
      </c>
    </row>
    <row r="117" spans="2:63" ht="15" hidden="1">
      <c r="B117" s="62" t="str">
        <f>TRIM(H110&amp;" "&amp;I110&amp;" "&amp;J110&amp;" "&amp;L110&amp;" "&amp;M110)</f>
        <v>Two</v>
      </c>
      <c r="C117" s="62"/>
      <c r="D117" s="62"/>
      <c r="E117" s="62"/>
      <c r="F117" s="62"/>
      <c r="G117" s="62"/>
      <c r="H117" s="62"/>
      <c r="I117" s="62"/>
      <c r="J117" s="62"/>
      <c r="L117" s="62"/>
      <c r="M117" s="62"/>
      <c r="N117" s="62"/>
      <c r="O117" s="62"/>
      <c r="P117" s="62">
        <v>12</v>
      </c>
      <c r="Q117" s="62" t="s">
        <v>57</v>
      </c>
      <c r="R117" s="62"/>
      <c r="AK117" s="196" t="s">
        <v>137</v>
      </c>
      <c r="AL117" s="197">
        <v>980</v>
      </c>
      <c r="AM117" s="197">
        <v>992</v>
      </c>
      <c r="AN117" s="197">
        <v>1004</v>
      </c>
      <c r="AO117" s="197">
        <v>1017</v>
      </c>
      <c r="AP117" s="197">
        <v>1029</v>
      </c>
      <c r="AQ117" s="197">
        <v>1042</v>
      </c>
      <c r="AR117" s="197">
        <v>1055</v>
      </c>
      <c r="AS117" s="197">
        <v>1068</v>
      </c>
      <c r="AT117" s="197">
        <v>1081</v>
      </c>
      <c r="AU117" s="197">
        <v>1094</v>
      </c>
      <c r="AV117" s="197">
        <v>1107</v>
      </c>
      <c r="AW117" s="197">
        <v>1120</v>
      </c>
      <c r="AY117" s="196" t="s">
        <v>142</v>
      </c>
      <c r="AZ117" s="202">
        <v>1457</v>
      </c>
      <c r="BA117" s="202">
        <v>1477</v>
      </c>
      <c r="BB117" s="202">
        <v>1498</v>
      </c>
      <c r="BC117" s="202">
        <v>1518</v>
      </c>
      <c r="BD117" s="202">
        <v>1539</v>
      </c>
      <c r="BE117" s="202">
        <v>1559</v>
      </c>
      <c r="BF117" s="202">
        <v>1580</v>
      </c>
      <c r="BG117" s="202">
        <v>1601</v>
      </c>
      <c r="BH117" s="202">
        <v>1622</v>
      </c>
      <c r="BI117" s="202">
        <v>1644</v>
      </c>
      <c r="BJ117" s="202">
        <v>1663</v>
      </c>
      <c r="BK117" s="202">
        <v>1687</v>
      </c>
    </row>
    <row r="118" spans="2:63" ht="15" hidden="1">
      <c r="B118" s="62" t="str">
        <f>IF(B106&gt;0,TRIM(B114&amp;" "&amp;B115&amp;" "&amp;B116&amp;" "&amp;B117)&amp;" only","Zero only")</f>
        <v>Sixteen thousand Three hundred Two only</v>
      </c>
      <c r="C118" s="62"/>
      <c r="D118" s="62"/>
      <c r="E118" s="62"/>
      <c r="F118" s="62"/>
      <c r="G118" s="62"/>
      <c r="H118" s="62"/>
      <c r="I118" s="62"/>
      <c r="J118" s="62"/>
      <c r="L118" s="62"/>
      <c r="M118" s="62"/>
      <c r="N118" s="62"/>
      <c r="O118" s="62"/>
      <c r="P118" s="62">
        <v>13</v>
      </c>
      <c r="Q118" s="62" t="s">
        <v>58</v>
      </c>
      <c r="R118" s="62"/>
      <c r="AK118" s="196" t="s">
        <v>138</v>
      </c>
      <c r="AL118" s="197">
        <v>1133</v>
      </c>
      <c r="AM118" s="197">
        <v>1147</v>
      </c>
      <c r="AN118" s="197">
        <v>1160</v>
      </c>
      <c r="AO118" s="197">
        <v>1174</v>
      </c>
      <c r="AP118" s="197">
        <v>1187</v>
      </c>
      <c r="AQ118" s="197">
        <v>1201</v>
      </c>
      <c r="AR118" s="197">
        <v>1215</v>
      </c>
      <c r="AS118" s="197">
        <v>1229</v>
      </c>
      <c r="AT118" s="197">
        <v>1243</v>
      </c>
      <c r="AU118" s="197">
        <v>1258</v>
      </c>
      <c r="AV118" s="197">
        <v>1272</v>
      </c>
      <c r="AW118" s="197">
        <v>1286</v>
      </c>
      <c r="AY118" s="196" t="s">
        <v>143</v>
      </c>
      <c r="AZ118" s="202">
        <v>1709</v>
      </c>
      <c r="BA118" s="202">
        <v>1730</v>
      </c>
      <c r="BB118" s="202">
        <v>1752</v>
      </c>
      <c r="BC118" s="202">
        <v>1775</v>
      </c>
      <c r="BD118" s="202">
        <v>1797</v>
      </c>
      <c r="BE118" s="202">
        <v>1819</v>
      </c>
      <c r="BF118" s="202">
        <v>1842</v>
      </c>
      <c r="BG118" s="202">
        <v>1865</v>
      </c>
      <c r="BH118" s="202">
        <v>1888</v>
      </c>
      <c r="BI118" s="202">
        <v>1911</v>
      </c>
      <c r="BJ118" s="202">
        <v>1934</v>
      </c>
      <c r="BK118" s="202">
        <v>1957</v>
      </c>
    </row>
    <row r="119" spans="2:63" ht="15" hidden="1">
      <c r="B119" s="62"/>
      <c r="C119" s="62"/>
      <c r="D119" s="62"/>
      <c r="E119" s="62"/>
      <c r="F119" s="62"/>
      <c r="G119" s="62"/>
      <c r="H119" s="62"/>
      <c r="I119" s="62"/>
      <c r="J119" s="62"/>
      <c r="L119" s="62"/>
      <c r="M119" s="62"/>
      <c r="N119" s="62"/>
      <c r="O119" s="62"/>
      <c r="P119" s="62">
        <v>14</v>
      </c>
      <c r="Q119" s="62" t="s">
        <v>59</v>
      </c>
      <c r="R119" s="62"/>
      <c r="AK119" s="196" t="s">
        <v>139</v>
      </c>
      <c r="AL119" s="197">
        <v>1299</v>
      </c>
      <c r="AM119" s="197">
        <v>1313</v>
      </c>
      <c r="AN119" s="197">
        <v>1326</v>
      </c>
      <c r="AO119" s="197">
        <v>1339</v>
      </c>
      <c r="AP119" s="197">
        <v>1352</v>
      </c>
      <c r="AQ119" s="197">
        <v>1365</v>
      </c>
      <c r="AR119" s="197">
        <v>1379</v>
      </c>
      <c r="AS119" s="197">
        <v>1393</v>
      </c>
      <c r="AT119" s="197">
        <v>1406</v>
      </c>
      <c r="AU119" s="197">
        <v>1420</v>
      </c>
      <c r="AV119" s="197">
        <v>1434</v>
      </c>
      <c r="AW119" s="197">
        <v>1448</v>
      </c>
      <c r="AY119" s="196" t="s">
        <v>144</v>
      </c>
      <c r="AZ119" s="202">
        <v>1981</v>
      </c>
      <c r="BA119" s="202">
        <v>2004</v>
      </c>
      <c r="BB119" s="202">
        <v>2028</v>
      </c>
      <c r="BC119" s="202">
        <v>2052</v>
      </c>
      <c r="BD119" s="202">
        <v>2076</v>
      </c>
      <c r="BE119" s="202">
        <v>2101</v>
      </c>
      <c r="BF119" s="202">
        <v>2125</v>
      </c>
      <c r="BG119" s="202">
        <v>2150</v>
      </c>
      <c r="BH119" s="202">
        <v>2175</v>
      </c>
      <c r="BI119" s="202">
        <v>2200</v>
      </c>
      <c r="BJ119" s="202">
        <v>2225</v>
      </c>
      <c r="BK119" s="202">
        <v>2250</v>
      </c>
    </row>
    <row r="120" spans="2:63" ht="15" hidden="1">
      <c r="B120" s="62">
        <f>AI27</f>
        <v>30000</v>
      </c>
      <c r="C120" s="62">
        <f>(B120-B123)/1000</f>
        <v>30</v>
      </c>
      <c r="D120" s="62"/>
      <c r="E120" s="62"/>
      <c r="F120" s="62"/>
      <c r="G120" s="62"/>
      <c r="H120" s="62"/>
      <c r="I120" s="62"/>
      <c r="J120" s="62"/>
      <c r="L120" s="62"/>
      <c r="M120" s="62"/>
      <c r="N120" s="62"/>
      <c r="O120" s="62"/>
      <c r="P120" s="62">
        <v>15</v>
      </c>
      <c r="Q120" s="62" t="s">
        <v>60</v>
      </c>
      <c r="R120" s="62"/>
      <c r="AK120" s="196" t="s">
        <v>140</v>
      </c>
      <c r="AL120" s="197">
        <v>1462</v>
      </c>
      <c r="AM120" s="197">
        <v>1476</v>
      </c>
      <c r="AN120" s="197">
        <v>1490</v>
      </c>
      <c r="AO120" s="197">
        <v>1504</v>
      </c>
      <c r="AP120" s="197">
        <v>1519</v>
      </c>
      <c r="AQ120" s="197">
        <v>1533</v>
      </c>
      <c r="AR120" s="197">
        <v>1548</v>
      </c>
      <c r="AS120" s="197">
        <v>1562</v>
      </c>
      <c r="AT120" s="197">
        <v>1577</v>
      </c>
      <c r="AU120" s="197">
        <v>1592</v>
      </c>
      <c r="AV120" s="197">
        <v>1607</v>
      </c>
      <c r="AW120" s="197">
        <v>1622</v>
      </c>
      <c r="AY120" s="196" t="s">
        <v>145</v>
      </c>
      <c r="AZ120" s="202">
        <v>2276</v>
      </c>
      <c r="BA120" s="202">
        <v>2301</v>
      </c>
      <c r="BB120" s="202">
        <v>2327</v>
      </c>
      <c r="BC120" s="202">
        <v>2353</v>
      </c>
      <c r="BD120" s="202">
        <v>2379</v>
      </c>
      <c r="BE120" s="202">
        <v>2406</v>
      </c>
      <c r="BF120" s="202">
        <v>2432</v>
      </c>
      <c r="BG120" s="202">
        <v>2459</v>
      </c>
      <c r="BH120" s="202">
        <v>2486</v>
      </c>
      <c r="BI120" s="202">
        <v>2513</v>
      </c>
      <c r="BJ120" s="202">
        <v>2540</v>
      </c>
      <c r="BK120" s="202">
        <v>2567</v>
      </c>
    </row>
    <row r="121" spans="2:63" ht="15" hidden="1">
      <c r="B121" s="62">
        <f>(C120-B122)/100</f>
        <v>0</v>
      </c>
      <c r="C121" s="62">
        <f>B121</f>
        <v>0</v>
      </c>
      <c r="D121" s="62">
        <f>RIGHT(C121,2)*1</f>
        <v>0</v>
      </c>
      <c r="E121" s="62">
        <f>(C121-D121)/100</f>
        <v>0</v>
      </c>
      <c r="F121" s="62">
        <f>(D121-RIGHT(D121,1)*1)/10</f>
        <v>0</v>
      </c>
      <c r="G121" s="62">
        <f>RIGHT(C121,1)*1</f>
        <v>0</v>
      </c>
      <c r="H121" s="62" t="str">
        <f>IF(F121=P$107,R$107,IF(F121=P$108,R$108,IF(F121=P$109,R$109,IF(F121=P$110,R$110,IF(F121=P$111,R$111,IF(F121=P$112,R$112,IF(F121=P$113,R$113,IF(F121=P$114,R$114," "))))))))</f>
        <v> </v>
      </c>
      <c r="I121" s="62" t="str">
        <f>IF(F121=1," ",IF(G121=P$106,Q$106,IF(G121=P$107,Q$107,IF(G121=P$108,Q$108,IF(G121=P$109,Q$109,IF(G121=P$110,Q$110,IF(G121=P$111,Q$111," ")))))))</f>
        <v> </v>
      </c>
      <c r="J121" s="62" t="str">
        <f>IF(F121=1," ",IF(G121=P$112,Q$112,IF(G121=P$113,Q$113,IF(G121=P$114,Q$114," "))))</f>
        <v> </v>
      </c>
      <c r="L121" s="62" t="str">
        <f>IF(F121=0," ",IF(F121&gt;1," ",IF(G121=P107,Q117,IF(G121=P108,Q118,IF(G121=P109,Q119,IF(G121=P110,Q120,IF(G121=P111,Q121,IF(G121=P112,Q122," "))))))))</f>
        <v> </v>
      </c>
      <c r="M121" s="62" t="str">
        <f>IF(F121=0," ",IF(F121&gt;1," ",IF(G121=P127,Q137,IF(G121=P128,Q138,IF(G121=P120,Q130,IF(G121=0,Q129," "))))))</f>
        <v> </v>
      </c>
      <c r="N121" s="62" t="str">
        <f>IF(G121=0," ","lakh")</f>
        <v> </v>
      </c>
      <c r="O121" s="62" t="str">
        <f>IF(F121=0," ",IF(E121&gt;0," ","Lakh"))</f>
        <v> </v>
      </c>
      <c r="P121" s="62">
        <v>16</v>
      </c>
      <c r="Q121" s="62" t="s">
        <v>61</v>
      </c>
      <c r="R121" s="62"/>
      <c r="AK121" s="196" t="s">
        <v>141</v>
      </c>
      <c r="AL121" s="197">
        <v>1637</v>
      </c>
      <c r="AM121" s="197">
        <v>1653</v>
      </c>
      <c r="AN121" s="197">
        <v>1668</v>
      </c>
      <c r="AO121" s="197">
        <v>1683</v>
      </c>
      <c r="AP121" s="197">
        <v>1699</v>
      </c>
      <c r="AQ121" s="197">
        <v>1715</v>
      </c>
      <c r="AR121" s="197">
        <v>1730</v>
      </c>
      <c r="AS121" s="197">
        <v>1746</v>
      </c>
      <c r="AT121" s="197">
        <v>1763</v>
      </c>
      <c r="AU121" s="197">
        <v>1778</v>
      </c>
      <c r="AV121" s="197">
        <v>1795</v>
      </c>
      <c r="AW121" s="197">
        <v>1811</v>
      </c>
      <c r="AY121" s="196" t="s">
        <v>146</v>
      </c>
      <c r="AZ121" s="202">
        <v>2595</v>
      </c>
      <c r="BA121" s="202">
        <v>2624</v>
      </c>
      <c r="BB121" s="202">
        <v>2653</v>
      </c>
      <c r="BC121" s="202">
        <v>2683</v>
      </c>
      <c r="BD121" s="202">
        <v>2712</v>
      </c>
      <c r="BE121" s="202">
        <v>2742</v>
      </c>
      <c r="BF121" s="202">
        <v>2772</v>
      </c>
      <c r="BG121" s="202">
        <v>2803</v>
      </c>
      <c r="BH121" s="202">
        <v>2833</v>
      </c>
      <c r="BI121" s="202">
        <v>2864</v>
      </c>
      <c r="BJ121" s="202">
        <v>2895</v>
      </c>
      <c r="BK121" s="202">
        <v>2926</v>
      </c>
    </row>
    <row r="122" spans="2:63" ht="15" hidden="1">
      <c r="B122" s="62">
        <f>RIGHT(C120,2)*1</f>
        <v>30</v>
      </c>
      <c r="C122" s="62">
        <f>B122</f>
        <v>30</v>
      </c>
      <c r="D122" s="62">
        <f>RIGHT(C122,2)*1</f>
        <v>30</v>
      </c>
      <c r="E122" s="62">
        <f>(C122-D122)/100</f>
        <v>0</v>
      </c>
      <c r="F122" s="62">
        <f>(D122-RIGHT(D122,1)*1)/10</f>
        <v>3</v>
      </c>
      <c r="G122" s="62">
        <f>RIGHT(C122,1)*1</f>
        <v>0</v>
      </c>
      <c r="H122" s="62" t="str">
        <f>IF(F122=P$107,R$107,IF(F122=P$108,R$108,IF(F122=P$109,R$109,IF(F122=P$110,R$110,IF(F122=P$111,R$111,IF(F122=P$112,R$112,IF(F122=P$113,R$113,IF(F122=P$114,R$114," "))))))))</f>
        <v>Thirty </v>
      </c>
      <c r="I122" s="62" t="str">
        <f>IF(F122=1," ",IF(G122=P$106,Q$106,IF(G122=P$107,Q$107,IF(G122=P$108,Q$108,IF(G122=P$109,Q$109,IF(G122=P$110,Q$110,IF(G122=P$111,Q$111," ")))))))</f>
        <v> </v>
      </c>
      <c r="J122" s="62" t="str">
        <f>IF(F122=1," ",IF(G122=P$112,Q$112,IF(G122=P$113,Q$113,IF(G122=P$114,Q$114," "))))</f>
        <v> </v>
      </c>
      <c r="L122" s="62" t="str">
        <f>IF(F122=0," ",IF(F122&gt;1," ",IF(G122=P107,Q117,IF(G122=P108,Q118,IF(G122=P109,Q119,IF(G122=P110,Q120,IF(G122=P111,Q121,IF(G122=P112,Q122," "))))))))</f>
        <v> </v>
      </c>
      <c r="M122" s="62" t="str">
        <f>IF(F122=0," ",IF(F122&gt;1," ",IF(G122=P127,Q137,IF(G122=P128,Q138,IF(G122=P120,Q130,IF(G122=0,Q129," "))))))</f>
        <v> </v>
      </c>
      <c r="N122" s="62" t="str">
        <f>IF(F122=0," ","thousand")</f>
        <v>thousand</v>
      </c>
      <c r="P122" s="62">
        <v>17</v>
      </c>
      <c r="Q122" s="62" t="s">
        <v>62</v>
      </c>
      <c r="R122" s="62"/>
      <c r="AK122" s="196" t="s">
        <v>142</v>
      </c>
      <c r="AL122" s="197">
        <v>1827</v>
      </c>
      <c r="AM122" s="197">
        <v>1844</v>
      </c>
      <c r="AN122" s="197">
        <v>1861</v>
      </c>
      <c r="AO122" s="197">
        <v>1877</v>
      </c>
      <c r="AP122" s="197">
        <v>1894</v>
      </c>
      <c r="AQ122" s="197">
        <v>1911</v>
      </c>
      <c r="AR122" s="197">
        <v>1928</v>
      </c>
      <c r="AS122" s="197">
        <v>1945</v>
      </c>
      <c r="AT122" s="197">
        <v>1963</v>
      </c>
      <c r="AU122" s="197">
        <v>1980</v>
      </c>
      <c r="AV122" s="197">
        <v>1998</v>
      </c>
      <c r="AW122" s="197">
        <v>2016</v>
      </c>
      <c r="AY122" s="196" t="s">
        <v>242</v>
      </c>
      <c r="AZ122" s="202">
        <v>2958</v>
      </c>
      <c r="BA122" s="202">
        <v>2989</v>
      </c>
      <c r="BB122" s="202">
        <v>3021</v>
      </c>
      <c r="BC122" s="202">
        <v>3053</v>
      </c>
      <c r="BD122" s="202">
        <v>3085</v>
      </c>
      <c r="BE122" s="203">
        <v>3118</v>
      </c>
      <c r="BF122" s="203">
        <v>3151</v>
      </c>
      <c r="BG122" s="203">
        <v>3184</v>
      </c>
      <c r="BH122" s="203">
        <v>3218</v>
      </c>
      <c r="BI122" s="203">
        <v>3251</v>
      </c>
      <c r="BJ122" s="203">
        <v>3285</v>
      </c>
      <c r="BK122" s="203">
        <v>3320</v>
      </c>
    </row>
    <row r="123" spans="2:63" ht="15" hidden="1">
      <c r="B123" s="62">
        <f>RIGHT(B120,3)*1</f>
        <v>0</v>
      </c>
      <c r="C123" s="62">
        <f>B123</f>
        <v>0</v>
      </c>
      <c r="D123" s="62">
        <f>ROUND((C123-E124)/100,0)</f>
        <v>0</v>
      </c>
      <c r="E123" s="62"/>
      <c r="F123" s="62"/>
      <c r="G123" s="62"/>
      <c r="H123" s="62"/>
      <c r="I123" s="62" t="str">
        <f>IF(F123=1," ",IF(G123=P$106,Q$106,IF(G123=P$107,Q$107,IF(G123=P$108,Q$108,IF(G123=P$109,Q$109,IF(G123=P$110,Q$110,IF(G123=P$111,Q$111," ")))))))</f>
        <v> </v>
      </c>
      <c r="J123" s="62" t="str">
        <f>IF(F123=1," ",IF(G123=P$112,Q$112,IF(G123=P$113,Q$113,IF(G123=P$114,Q$114," "))))</f>
        <v> </v>
      </c>
      <c r="L123" s="62"/>
      <c r="M123" s="62"/>
      <c r="N123" s="62" t="str">
        <f>IF(D123=0," ","hundred")</f>
        <v> </v>
      </c>
      <c r="O123" s="62"/>
      <c r="P123" s="62">
        <v>18</v>
      </c>
      <c r="Q123" s="62" t="s">
        <v>63</v>
      </c>
      <c r="R123" s="62"/>
      <c r="AK123" s="196" t="s">
        <v>143</v>
      </c>
      <c r="AL123" s="197">
        <v>2033</v>
      </c>
      <c r="AM123" s="197">
        <v>2051</v>
      </c>
      <c r="AN123" s="197">
        <v>2069</v>
      </c>
      <c r="AO123" s="197">
        <v>2087</v>
      </c>
      <c r="AP123" s="197">
        <v>2105</v>
      </c>
      <c r="AQ123" s="197">
        <v>2124</v>
      </c>
      <c r="AR123" s="197">
        <v>2142</v>
      </c>
      <c r="AS123" s="197">
        <v>2161</v>
      </c>
      <c r="AT123" s="197">
        <v>2180</v>
      </c>
      <c r="AU123" s="197">
        <v>2199</v>
      </c>
      <c r="AV123" s="197">
        <v>2218</v>
      </c>
      <c r="AW123" s="197">
        <v>2237</v>
      </c>
      <c r="AY123" s="195" t="s">
        <v>314</v>
      </c>
      <c r="AZ123" s="203">
        <v>3354</v>
      </c>
      <c r="BA123" s="203">
        <v>3388</v>
      </c>
      <c r="BB123" s="203">
        <v>3423</v>
      </c>
      <c r="BC123" s="203">
        <v>3459</v>
      </c>
      <c r="BD123" s="203">
        <v>3494</v>
      </c>
      <c r="BE123"/>
      <c r="BF123"/>
      <c r="BG123"/>
      <c r="BH123"/>
      <c r="BI123"/>
      <c r="BJ123"/>
      <c r="BK123"/>
    </row>
    <row r="124" spans="2:49" ht="15" hidden="1">
      <c r="B124" s="62"/>
      <c r="C124" s="62"/>
      <c r="D124" s="62"/>
      <c r="E124" s="62">
        <f>RIGHT(C123,2)*1</f>
        <v>0</v>
      </c>
      <c r="F124" s="62">
        <f>(E124-RIGHT(E124,1)*1)/10</f>
        <v>0</v>
      </c>
      <c r="G124" s="62">
        <f>RIGHT(C123,1)*1</f>
        <v>0</v>
      </c>
      <c r="H124" s="62" t="str">
        <f>IF(F124=P$107,R$107,IF(F124=P$108,R$108,IF(F124=P$109,R$109,IF(F124=P$110,R$110,IF(F124=P$111,R$111,IF(F124=P$112,R$112,IF(F124=P$113,R$113,IF(F124=P$114,R$114," "))))))))</f>
        <v> </v>
      </c>
      <c r="I124" s="62" t="str">
        <f>IF(F124=1," ",IF(G124=P$106,Q$106,IF(G124=P$107,Q$107,IF(G124=P$108,Q$108,IF(G124=P$109,Q$109,IF(G124=P$110,Q$110,IF(G124=P$111,Q$111," ")))))))</f>
        <v> </v>
      </c>
      <c r="J124" s="62" t="str">
        <f>IF(F124=1," ",IF(G124=P$112,Q$112,IF(G124=P$113,Q$113,IF(G124=P$114,Q$114," "))))</f>
        <v> </v>
      </c>
      <c r="L124" s="62" t="str">
        <f>IF(F124=0," ",IF(F124&gt;1," ",IF(G124=P107,Q117,IF(G124=P108,Q118,IF(G124=P109,Q119,IF(G124=P110,Q120,IF(G124=P111,Q121,IF(G124=P112,Q122," "))))))))</f>
        <v> </v>
      </c>
      <c r="M124" s="62" t="str">
        <f>IF(F124=0," ",IF(F124&gt;1," ",IF(G124=P127,Q137,IF(G124=P128,Q138,IF(G124=P120,Q130,IF(G124=0,Q129," "))))))</f>
        <v> </v>
      </c>
      <c r="N124" s="62"/>
      <c r="O124" s="62"/>
      <c r="P124" s="62">
        <v>19</v>
      </c>
      <c r="Q124" s="62" t="s">
        <v>64</v>
      </c>
      <c r="R124" s="62"/>
      <c r="AK124" s="196" t="s">
        <v>144</v>
      </c>
      <c r="AL124" s="197">
        <v>2256</v>
      </c>
      <c r="AM124" s="197">
        <v>2275</v>
      </c>
      <c r="AN124" s="197">
        <v>2295</v>
      </c>
      <c r="AO124" s="197">
        <v>2314</v>
      </c>
      <c r="AP124" s="197">
        <v>2334</v>
      </c>
      <c r="AQ124" s="197">
        <v>2354</v>
      </c>
      <c r="AR124" s="197">
        <v>2374</v>
      </c>
      <c r="AS124" s="197">
        <v>2394</v>
      </c>
      <c r="AT124" s="197">
        <v>2415</v>
      </c>
      <c r="AU124" s="197">
        <v>2435</v>
      </c>
      <c r="AV124" s="197">
        <v>2456</v>
      </c>
      <c r="AW124" s="197">
        <v>2476</v>
      </c>
    </row>
    <row r="125" spans="2:49" ht="15" hidden="1">
      <c r="B125" s="62"/>
      <c r="C125" s="62"/>
      <c r="D125" s="62"/>
      <c r="E125" s="62"/>
      <c r="F125" s="62">
        <f>F124</f>
        <v>0</v>
      </c>
      <c r="G125" s="62">
        <f>G124</f>
        <v>0</v>
      </c>
      <c r="H125" s="62"/>
      <c r="I125" s="62"/>
      <c r="J125" s="62"/>
      <c r="L125" s="62"/>
      <c r="M125" s="62"/>
      <c r="N125" s="62"/>
      <c r="O125" s="62"/>
      <c r="P125" s="62">
        <v>20</v>
      </c>
      <c r="Q125" s="62" t="s">
        <v>40</v>
      </c>
      <c r="R125" s="62"/>
      <c r="AK125" s="196" t="s">
        <v>145</v>
      </c>
      <c r="AL125" s="197">
        <v>2497</v>
      </c>
      <c r="AM125" s="197">
        <v>2518</v>
      </c>
      <c r="AN125" s="197">
        <v>2539</v>
      </c>
      <c r="AO125" s="197">
        <v>2560</v>
      </c>
      <c r="AP125" s="197">
        <v>2582</v>
      </c>
      <c r="AQ125" s="197">
        <v>2604</v>
      </c>
      <c r="AR125" s="197">
        <v>2625</v>
      </c>
      <c r="AS125" s="197">
        <v>2647</v>
      </c>
      <c r="AT125" s="197">
        <v>2669</v>
      </c>
      <c r="AU125" s="197">
        <v>2691</v>
      </c>
      <c r="AV125" s="197">
        <v>2713</v>
      </c>
      <c r="AW125" s="197">
        <v>2736</v>
      </c>
    </row>
    <row r="126" spans="2:49" ht="15" hidden="1">
      <c r="B126" s="62"/>
      <c r="C126" s="62"/>
      <c r="D126" s="62"/>
      <c r="E126" s="62"/>
      <c r="F126" s="62"/>
      <c r="G126" s="62"/>
      <c r="H126" s="62"/>
      <c r="I126" s="62"/>
      <c r="J126" s="62"/>
      <c r="L126" s="62"/>
      <c r="M126" s="62"/>
      <c r="N126" s="62"/>
      <c r="O126" s="62"/>
      <c r="P126" s="62">
        <v>30</v>
      </c>
      <c r="Q126" s="62" t="s">
        <v>42</v>
      </c>
      <c r="R126" s="62"/>
      <c r="AK126" s="196" t="s">
        <v>146</v>
      </c>
      <c r="AL126" s="197">
        <v>2758</v>
      </c>
      <c r="AM126" s="197">
        <v>2782</v>
      </c>
      <c r="AN126" s="197">
        <v>2807</v>
      </c>
      <c r="AO126" s="197">
        <v>2832</v>
      </c>
      <c r="AP126" s="197">
        <v>2857</v>
      </c>
      <c r="AQ126" s="197">
        <v>2882</v>
      </c>
      <c r="AR126" s="197">
        <v>2907</v>
      </c>
      <c r="AS126" s="197">
        <v>2932</v>
      </c>
      <c r="AT126" s="197">
        <v>2958</v>
      </c>
      <c r="AU126" s="197">
        <v>2984</v>
      </c>
      <c r="AV126" s="197">
        <v>3010</v>
      </c>
      <c r="AW126" s="197">
        <v>3036</v>
      </c>
    </row>
    <row r="127" spans="2:49" ht="15" hidden="1">
      <c r="B127" s="62"/>
      <c r="C127" s="62"/>
      <c r="D127" s="62"/>
      <c r="E127" s="62"/>
      <c r="F127" s="62"/>
      <c r="G127" s="62"/>
      <c r="H127" s="62"/>
      <c r="I127" s="62"/>
      <c r="J127" s="62"/>
      <c r="L127" s="62"/>
      <c r="M127" s="62"/>
      <c r="N127" s="62"/>
      <c r="O127" s="62"/>
      <c r="P127" s="62">
        <v>40</v>
      </c>
      <c r="Q127" s="62" t="s">
        <v>44</v>
      </c>
      <c r="R127" s="62"/>
      <c r="AK127" s="196" t="s">
        <v>242</v>
      </c>
      <c r="AL127" s="197">
        <v>3062</v>
      </c>
      <c r="AM127" s="197">
        <v>3089</v>
      </c>
      <c r="AN127" s="197">
        <v>3116</v>
      </c>
      <c r="AO127" s="197">
        <v>3143</v>
      </c>
      <c r="AP127" s="197">
        <v>3170</v>
      </c>
      <c r="AQ127" s="199">
        <v>3198</v>
      </c>
      <c r="AR127" s="199">
        <v>3225</v>
      </c>
      <c r="AS127" s="199">
        <v>3253</v>
      </c>
      <c r="AT127" s="199">
        <v>3282</v>
      </c>
      <c r="AU127" s="199">
        <v>3310</v>
      </c>
      <c r="AV127" s="199">
        <v>3339</v>
      </c>
      <c r="AW127" s="199">
        <v>3368</v>
      </c>
    </row>
    <row r="128" spans="2:49" ht="15" hidden="1">
      <c r="B128" s="62"/>
      <c r="C128" s="62"/>
      <c r="D128" s="62"/>
      <c r="E128" s="62"/>
      <c r="F128" s="62"/>
      <c r="G128" s="62"/>
      <c r="H128" s="62"/>
      <c r="I128" s="62"/>
      <c r="J128" s="62"/>
      <c r="L128" s="62"/>
      <c r="M128" s="62"/>
      <c r="N128" s="62"/>
      <c r="O128" s="62"/>
      <c r="P128" s="62">
        <v>50</v>
      </c>
      <c r="Q128" s="62" t="s">
        <v>46</v>
      </c>
      <c r="R128" s="62"/>
      <c r="AK128" s="195" t="s">
        <v>314</v>
      </c>
      <c r="AL128" s="199">
        <v>3397</v>
      </c>
      <c r="AM128" s="199">
        <v>3426</v>
      </c>
      <c r="AN128" s="199">
        <v>3455</v>
      </c>
      <c r="AO128" s="199">
        <v>3485</v>
      </c>
      <c r="AP128" s="199">
        <v>3515</v>
      </c>
      <c r="AQ128"/>
      <c r="AR128"/>
      <c r="AS128"/>
      <c r="AT128"/>
      <c r="AU128"/>
      <c r="AV128"/>
      <c r="AW128"/>
    </row>
    <row r="129" spans="2:63" ht="15" hidden="1">
      <c r="B129" s="62">
        <f>TRIM(H120&amp;" "&amp;I120&amp;" "&amp;J120&amp;" "&amp;L120&amp;" "&amp;M120&amp;" "&amp;N120&amp;" "&amp;O120)</f>
      </c>
      <c r="C129" s="62"/>
      <c r="D129" s="62"/>
      <c r="E129" s="62"/>
      <c r="F129" s="62"/>
      <c r="G129" s="62"/>
      <c r="H129" s="62"/>
      <c r="I129" s="62"/>
      <c r="J129" s="62"/>
      <c r="L129" s="62"/>
      <c r="M129" s="62"/>
      <c r="N129" s="62"/>
      <c r="O129" s="62"/>
      <c r="P129" s="62">
        <v>60</v>
      </c>
      <c r="Q129" s="62" t="s">
        <v>48</v>
      </c>
      <c r="R129" s="62"/>
      <c r="AK129" s="195" t="s">
        <v>152</v>
      </c>
      <c r="AL129" s="196" t="s">
        <v>116</v>
      </c>
      <c r="AM129" s="196" t="s">
        <v>117</v>
      </c>
      <c r="AN129" s="196" t="s">
        <v>118</v>
      </c>
      <c r="AO129" s="196" t="s">
        <v>124</v>
      </c>
      <c r="AP129" s="196" t="s">
        <v>125</v>
      </c>
      <c r="AQ129" s="196" t="s">
        <v>126</v>
      </c>
      <c r="AR129" s="196" t="s">
        <v>119</v>
      </c>
      <c r="AS129" s="196" t="s">
        <v>149</v>
      </c>
      <c r="AT129" s="196" t="s">
        <v>121</v>
      </c>
      <c r="AU129" s="196" t="s">
        <v>122</v>
      </c>
      <c r="AV129" s="196" t="s">
        <v>241</v>
      </c>
      <c r="AW129" s="196" t="s">
        <v>128</v>
      </c>
      <c r="AY129" s="201" t="s">
        <v>123</v>
      </c>
      <c r="AZ129" s="201" t="s">
        <v>116</v>
      </c>
      <c r="BA129" s="201" t="s">
        <v>117</v>
      </c>
      <c r="BB129" s="201" t="s">
        <v>118</v>
      </c>
      <c r="BC129" s="201" t="s">
        <v>124</v>
      </c>
      <c r="BD129" s="201" t="s">
        <v>125</v>
      </c>
      <c r="BE129" s="201" t="s">
        <v>126</v>
      </c>
      <c r="BF129" s="201" t="s">
        <v>119</v>
      </c>
      <c r="BG129" s="201" t="s">
        <v>120</v>
      </c>
      <c r="BH129" s="201" t="s">
        <v>121</v>
      </c>
      <c r="BI129" s="201" t="s">
        <v>122</v>
      </c>
      <c r="BJ129" s="201" t="s">
        <v>127</v>
      </c>
      <c r="BK129" s="201" t="s">
        <v>128</v>
      </c>
    </row>
    <row r="130" spans="2:63" ht="15" hidden="1">
      <c r="B130" s="62">
        <f>TRIM(H121&amp;" "&amp;I121&amp;" "&amp;J121&amp;" "&amp;L121&amp;" "&amp;M121&amp;" "&amp;N121&amp;" "&amp;O133)</f>
      </c>
      <c r="C130" s="62"/>
      <c r="D130" s="62"/>
      <c r="E130" s="62"/>
      <c r="F130" s="62"/>
      <c r="G130" s="62"/>
      <c r="H130" s="62"/>
      <c r="I130" s="62"/>
      <c r="J130" s="62"/>
      <c r="L130" s="62"/>
      <c r="M130" s="62"/>
      <c r="N130" s="62"/>
      <c r="O130" s="62"/>
      <c r="P130" s="62">
        <v>70</v>
      </c>
      <c r="Q130" s="62" t="s">
        <v>50</v>
      </c>
      <c r="R130" s="62"/>
      <c r="AK130" s="196" t="s">
        <v>129</v>
      </c>
      <c r="AL130" s="197">
        <v>8</v>
      </c>
      <c r="AM130" s="197">
        <v>16</v>
      </c>
      <c r="AN130" s="197">
        <v>25</v>
      </c>
      <c r="AO130" s="197">
        <v>33</v>
      </c>
      <c r="AP130" s="197">
        <v>42</v>
      </c>
      <c r="AQ130" s="197">
        <v>50</v>
      </c>
      <c r="AR130" s="197">
        <v>59</v>
      </c>
      <c r="AS130" s="197">
        <v>67</v>
      </c>
      <c r="AT130" s="197">
        <v>76</v>
      </c>
      <c r="AU130" s="197">
        <v>85</v>
      </c>
      <c r="AV130" s="197">
        <v>94</v>
      </c>
      <c r="AW130" s="197">
        <v>103</v>
      </c>
      <c r="AY130" s="196" t="s">
        <v>135</v>
      </c>
      <c r="AZ130" s="202">
        <v>11</v>
      </c>
      <c r="BA130" s="202">
        <v>21</v>
      </c>
      <c r="BB130" s="202">
        <v>32</v>
      </c>
      <c r="BC130" s="202">
        <v>43</v>
      </c>
      <c r="BD130" s="202">
        <v>53</v>
      </c>
      <c r="BE130" s="202">
        <v>64</v>
      </c>
      <c r="BF130" s="202">
        <v>75</v>
      </c>
      <c r="BG130" s="202">
        <v>86</v>
      </c>
      <c r="BH130" s="202">
        <v>98</v>
      </c>
      <c r="BI130" s="202">
        <v>109</v>
      </c>
      <c r="BJ130" s="202">
        <v>120</v>
      </c>
      <c r="BK130" s="202">
        <v>132</v>
      </c>
    </row>
    <row r="131" spans="2:63" ht="15" hidden="1">
      <c r="B131" s="62" t="str">
        <f>TRIM(H122&amp;" "&amp;I122&amp;" "&amp;J122&amp;" "&amp;L122&amp;" "&amp;M122&amp;" "&amp;N122&amp;" "&amp;O122)</f>
        <v>Thirty thousand</v>
      </c>
      <c r="C131" s="62"/>
      <c r="D131" s="62"/>
      <c r="E131" s="62"/>
      <c r="F131" s="62"/>
      <c r="G131" s="62"/>
      <c r="H131" s="62"/>
      <c r="I131" s="62"/>
      <c r="J131" s="62"/>
      <c r="L131" s="62"/>
      <c r="M131" s="62"/>
      <c r="N131" s="62"/>
      <c r="O131" s="62"/>
      <c r="P131" s="62">
        <v>80</v>
      </c>
      <c r="Q131" s="62" t="s">
        <v>52</v>
      </c>
      <c r="R131" s="62"/>
      <c r="AK131" s="196" t="s">
        <v>130</v>
      </c>
      <c r="AL131" s="197">
        <v>112</v>
      </c>
      <c r="AM131" s="197">
        <v>122</v>
      </c>
      <c r="AN131" s="197">
        <v>131</v>
      </c>
      <c r="AO131" s="197">
        <v>140</v>
      </c>
      <c r="AP131" s="197">
        <v>150</v>
      </c>
      <c r="AQ131" s="197">
        <v>160</v>
      </c>
      <c r="AR131" s="197">
        <v>169</v>
      </c>
      <c r="AS131" s="197">
        <v>179</v>
      </c>
      <c r="AT131" s="197">
        <v>189</v>
      </c>
      <c r="AU131" s="197">
        <v>199</v>
      </c>
      <c r="AV131" s="197">
        <v>209</v>
      </c>
      <c r="AW131" s="197">
        <v>219</v>
      </c>
      <c r="AY131" s="196" t="s">
        <v>136</v>
      </c>
      <c r="AZ131" s="202">
        <v>143</v>
      </c>
      <c r="BA131" s="202">
        <v>155</v>
      </c>
      <c r="BB131" s="202">
        <v>167</v>
      </c>
      <c r="BC131" s="202">
        <v>178</v>
      </c>
      <c r="BD131" s="202">
        <v>190</v>
      </c>
      <c r="BE131" s="202">
        <v>202</v>
      </c>
      <c r="BF131" s="202">
        <v>214</v>
      </c>
      <c r="BG131" s="202">
        <v>226</v>
      </c>
      <c r="BH131" s="202">
        <v>238</v>
      </c>
      <c r="BI131" s="202">
        <v>251</v>
      </c>
      <c r="BJ131" s="202">
        <v>263</v>
      </c>
      <c r="BK131" s="202">
        <v>276</v>
      </c>
    </row>
    <row r="132" spans="2:63" ht="15" hidden="1">
      <c r="B132" s="62">
        <f>TRIM(H123&amp;" "&amp;I123&amp;" "&amp;J123&amp;" "&amp;L123&amp;" "&amp;M123)</f>
      </c>
      <c r="C132" s="62"/>
      <c r="D132" s="62"/>
      <c r="E132" s="62"/>
      <c r="F132" s="62"/>
      <c r="G132" s="62"/>
      <c r="H132" s="62"/>
      <c r="I132" s="62"/>
      <c r="J132" s="62"/>
      <c r="L132" s="62"/>
      <c r="M132" s="62"/>
      <c r="N132" s="62"/>
      <c r="O132" s="62"/>
      <c r="P132" s="62">
        <v>90</v>
      </c>
      <c r="Q132" s="62" t="s">
        <v>54</v>
      </c>
      <c r="R132" s="62"/>
      <c r="AK132" s="196" t="s">
        <v>131</v>
      </c>
      <c r="AL132" s="197">
        <v>230</v>
      </c>
      <c r="AM132" s="197">
        <v>240</v>
      </c>
      <c r="AN132" s="197">
        <v>251</v>
      </c>
      <c r="AO132" s="197">
        <v>261</v>
      </c>
      <c r="AP132" s="197">
        <v>272</v>
      </c>
      <c r="AQ132" s="197">
        <v>283</v>
      </c>
      <c r="AR132" s="197">
        <v>294</v>
      </c>
      <c r="AS132" s="197">
        <v>305</v>
      </c>
      <c r="AT132" s="197">
        <v>316</v>
      </c>
      <c r="AU132" s="197">
        <v>327</v>
      </c>
      <c r="AV132" s="197">
        <v>338</v>
      </c>
      <c r="AW132" s="197">
        <v>350</v>
      </c>
      <c r="AY132" s="196" t="s">
        <v>137</v>
      </c>
      <c r="AZ132" s="202">
        <v>288</v>
      </c>
      <c r="BA132" s="202">
        <v>301</v>
      </c>
      <c r="BB132" s="202">
        <v>314</v>
      </c>
      <c r="BC132" s="202">
        <v>326</v>
      </c>
      <c r="BD132" s="202">
        <v>339</v>
      </c>
      <c r="BE132" s="202">
        <v>352</v>
      </c>
      <c r="BF132" s="202">
        <v>365</v>
      </c>
      <c r="BG132" s="202">
        <v>379</v>
      </c>
      <c r="BH132" s="202">
        <v>392</v>
      </c>
      <c r="BI132" s="202">
        <v>405</v>
      </c>
      <c r="BJ132" s="202">
        <v>419</v>
      </c>
      <c r="BK132" s="202">
        <v>433</v>
      </c>
    </row>
    <row r="133" spans="2:63" ht="15" hidden="1">
      <c r="B133" s="62" t="str">
        <f>IF(B120&gt;0,TRIM(B129&amp;" "&amp;B130&amp;" "&amp;B131&amp;" "&amp;B132)&amp;" only","Zero only")</f>
        <v>Thirty thousand only</v>
      </c>
      <c r="P133" s="85">
        <v>90</v>
      </c>
      <c r="Q133" s="85" t="s">
        <v>54</v>
      </c>
      <c r="AK133" s="196" t="s">
        <v>132</v>
      </c>
      <c r="AL133" s="197">
        <v>362</v>
      </c>
      <c r="AM133" s="197">
        <v>373</v>
      </c>
      <c r="AN133" s="197">
        <v>385</v>
      </c>
      <c r="AO133" s="197">
        <v>397</v>
      </c>
      <c r="AP133" s="197">
        <v>409</v>
      </c>
      <c r="AQ133" s="197">
        <v>421</v>
      </c>
      <c r="AR133" s="197">
        <v>434</v>
      </c>
      <c r="AS133" s="197">
        <v>446</v>
      </c>
      <c r="AT133" s="197">
        <v>459</v>
      </c>
      <c r="AU133" s="197">
        <v>471</v>
      </c>
      <c r="AV133" s="197">
        <v>484</v>
      </c>
      <c r="AW133" s="197">
        <v>497</v>
      </c>
      <c r="AY133" s="196" t="s">
        <v>138</v>
      </c>
      <c r="AZ133" s="202">
        <v>446</v>
      </c>
      <c r="BA133" s="202">
        <v>460</v>
      </c>
      <c r="BB133" s="202">
        <v>474</v>
      </c>
      <c r="BC133" s="202">
        <v>488</v>
      </c>
      <c r="BD133" s="202">
        <v>502</v>
      </c>
      <c r="BE133" s="202">
        <v>516</v>
      </c>
      <c r="BF133" s="202">
        <v>531</v>
      </c>
      <c r="BG133" s="202">
        <v>545</v>
      </c>
      <c r="BH133" s="202">
        <v>560</v>
      </c>
      <c r="BI133" s="202">
        <v>574</v>
      </c>
      <c r="BJ133" s="202">
        <v>589</v>
      </c>
      <c r="BK133" s="202">
        <v>604</v>
      </c>
    </row>
    <row r="134" spans="37:63" ht="15" hidden="1">
      <c r="AK134" s="196" t="s">
        <v>133</v>
      </c>
      <c r="AL134" s="197">
        <v>510</v>
      </c>
      <c r="AM134" s="197">
        <v>523</v>
      </c>
      <c r="AN134" s="197">
        <v>537</v>
      </c>
      <c r="AO134" s="197">
        <v>550</v>
      </c>
      <c r="AP134" s="197">
        <v>564</v>
      </c>
      <c r="AQ134" s="197">
        <v>577</v>
      </c>
      <c r="AR134" s="197">
        <v>591</v>
      </c>
      <c r="AS134" s="197">
        <v>605</v>
      </c>
      <c r="AT134" s="197">
        <v>619</v>
      </c>
      <c r="AU134" s="197">
        <v>634</v>
      </c>
      <c r="AV134" s="197">
        <v>648</v>
      </c>
      <c r="AW134" s="197">
        <v>663</v>
      </c>
      <c r="AY134" s="196" t="s">
        <v>139</v>
      </c>
      <c r="AZ134" s="202">
        <v>619</v>
      </c>
      <c r="BA134" s="202">
        <v>633</v>
      </c>
      <c r="BB134" s="202">
        <v>648</v>
      </c>
      <c r="BC134" s="202">
        <v>663</v>
      </c>
      <c r="BD134" s="202">
        <v>678</v>
      </c>
      <c r="BE134" s="202">
        <v>693</v>
      </c>
      <c r="BF134" s="202">
        <v>708</v>
      </c>
      <c r="BG134" s="202">
        <v>723</v>
      </c>
      <c r="BH134" s="202">
        <v>738</v>
      </c>
      <c r="BI134" s="202">
        <v>754</v>
      </c>
      <c r="BJ134" s="202">
        <v>769</v>
      </c>
      <c r="BK134" s="202">
        <v>785</v>
      </c>
    </row>
    <row r="135" spans="37:63" ht="15" hidden="1">
      <c r="AK135" s="196" t="s">
        <v>134</v>
      </c>
      <c r="AL135" s="197">
        <v>677</v>
      </c>
      <c r="AM135" s="197">
        <v>692</v>
      </c>
      <c r="AN135" s="197">
        <v>707</v>
      </c>
      <c r="AO135" s="197">
        <v>722</v>
      </c>
      <c r="AP135" s="197">
        <v>738</v>
      </c>
      <c r="AQ135" s="197">
        <v>752</v>
      </c>
      <c r="AR135" s="197">
        <v>767</v>
      </c>
      <c r="AS135" s="197">
        <v>781</v>
      </c>
      <c r="AT135" s="197">
        <v>796</v>
      </c>
      <c r="AU135" s="197">
        <v>810</v>
      </c>
      <c r="AV135" s="197">
        <v>825</v>
      </c>
      <c r="AW135" s="197">
        <v>840</v>
      </c>
      <c r="AY135" s="196" t="s">
        <v>140</v>
      </c>
      <c r="AZ135" s="202">
        <v>801</v>
      </c>
      <c r="BA135" s="202">
        <v>817</v>
      </c>
      <c r="BB135" s="202">
        <v>832</v>
      </c>
      <c r="BC135" s="202">
        <v>848</v>
      </c>
      <c r="BD135" s="202">
        <v>865</v>
      </c>
      <c r="BE135" s="202">
        <v>881</v>
      </c>
      <c r="BF135" s="202">
        <v>897</v>
      </c>
      <c r="BG135" s="202">
        <v>914</v>
      </c>
      <c r="BH135" s="202">
        <v>930</v>
      </c>
      <c r="BI135" s="202">
        <v>947</v>
      </c>
      <c r="BJ135" s="202">
        <v>964</v>
      </c>
      <c r="BK135" s="202">
        <v>981</v>
      </c>
    </row>
    <row r="136" spans="37:63" ht="15" hidden="1">
      <c r="AK136" s="196" t="s">
        <v>135</v>
      </c>
      <c r="AL136" s="197">
        <v>855</v>
      </c>
      <c r="AM136" s="197">
        <v>870</v>
      </c>
      <c r="AN136" s="197">
        <v>886</v>
      </c>
      <c r="AO136" s="197">
        <v>901</v>
      </c>
      <c r="AP136" s="197">
        <v>917</v>
      </c>
      <c r="AQ136" s="197">
        <v>931</v>
      </c>
      <c r="AR136" s="197">
        <v>944</v>
      </c>
      <c r="AS136" s="197">
        <v>958</v>
      </c>
      <c r="AT136" s="197">
        <v>972</v>
      </c>
      <c r="AU136" s="197">
        <v>986</v>
      </c>
      <c r="AV136" s="197">
        <v>1000</v>
      </c>
      <c r="AW136" s="197">
        <v>1015</v>
      </c>
      <c r="AY136" s="196" t="s">
        <v>141</v>
      </c>
      <c r="AZ136" s="202">
        <v>998</v>
      </c>
      <c r="BA136" s="202">
        <v>1015</v>
      </c>
      <c r="BB136" s="202">
        <v>1032</v>
      </c>
      <c r="BC136" s="202">
        <v>1049</v>
      </c>
      <c r="BD136" s="202">
        <v>1067</v>
      </c>
      <c r="BE136" s="202">
        <v>1085</v>
      </c>
      <c r="BF136" s="202">
        <v>1102</v>
      </c>
      <c r="BG136" s="202">
        <v>1120</v>
      </c>
      <c r="BH136" s="202">
        <v>1138</v>
      </c>
      <c r="BI136" s="202">
        <v>1156</v>
      </c>
      <c r="BJ136" s="202">
        <v>1174</v>
      </c>
      <c r="BK136" s="202">
        <v>1193</v>
      </c>
    </row>
    <row r="137" spans="37:63" ht="15" hidden="1">
      <c r="AK137" s="196" t="s">
        <v>136</v>
      </c>
      <c r="AL137" s="197">
        <v>1029</v>
      </c>
      <c r="AM137" s="197">
        <v>1044</v>
      </c>
      <c r="AN137" s="197">
        <v>1058</v>
      </c>
      <c r="AO137" s="197">
        <v>1073</v>
      </c>
      <c r="AP137" s="197">
        <v>1088</v>
      </c>
      <c r="AQ137" s="197">
        <v>1102</v>
      </c>
      <c r="AR137" s="197">
        <v>1117</v>
      </c>
      <c r="AS137" s="197">
        <v>1131</v>
      </c>
      <c r="AT137" s="197">
        <v>1146</v>
      </c>
      <c r="AU137" s="197">
        <v>1160</v>
      </c>
      <c r="AV137" s="197">
        <v>1175</v>
      </c>
      <c r="AW137" s="197">
        <v>1190</v>
      </c>
      <c r="AY137" s="196" t="s">
        <v>142</v>
      </c>
      <c r="AZ137" s="202">
        <v>1211</v>
      </c>
      <c r="BA137" s="202">
        <v>1230</v>
      </c>
      <c r="BB137" s="202">
        <v>1248</v>
      </c>
      <c r="BC137" s="202">
        <v>1267</v>
      </c>
      <c r="BD137" s="202">
        <v>1286</v>
      </c>
      <c r="BE137" s="202">
        <v>1305</v>
      </c>
      <c r="BF137" s="202">
        <v>1324</v>
      </c>
      <c r="BG137" s="202">
        <v>1344</v>
      </c>
      <c r="BH137" s="202">
        <v>1363</v>
      </c>
      <c r="BI137" s="202">
        <v>1383</v>
      </c>
      <c r="BJ137" s="202">
        <v>1402</v>
      </c>
      <c r="BK137" s="202">
        <v>1422</v>
      </c>
    </row>
    <row r="138" spans="37:63" ht="15" hidden="1">
      <c r="AK138" s="196" t="s">
        <v>137</v>
      </c>
      <c r="AL138" s="197">
        <v>1205</v>
      </c>
      <c r="AM138" s="197">
        <v>1220</v>
      </c>
      <c r="AN138" s="197">
        <v>1235</v>
      </c>
      <c r="AO138" s="197">
        <v>1250</v>
      </c>
      <c r="AP138" s="197">
        <v>1266</v>
      </c>
      <c r="AQ138" s="197">
        <v>1281</v>
      </c>
      <c r="AR138" s="197">
        <v>1297</v>
      </c>
      <c r="AS138" s="197">
        <v>1313</v>
      </c>
      <c r="AT138" s="197">
        <v>1329</v>
      </c>
      <c r="AU138" s="197">
        <v>1345</v>
      </c>
      <c r="AV138" s="197">
        <v>1361</v>
      </c>
      <c r="AW138" s="197">
        <v>1377</v>
      </c>
      <c r="AY138" s="196" t="s">
        <v>143</v>
      </c>
      <c r="AZ138" s="202">
        <v>1442</v>
      </c>
      <c r="BA138" s="202">
        <v>1462</v>
      </c>
      <c r="BB138" s="202">
        <v>1483</v>
      </c>
      <c r="BC138" s="202">
        <v>1503</v>
      </c>
      <c r="BD138" s="202">
        <v>1522</v>
      </c>
      <c r="BE138" s="202">
        <v>1544</v>
      </c>
      <c r="BF138" s="202">
        <v>1565</v>
      </c>
      <c r="BG138" s="202">
        <v>1586</v>
      </c>
      <c r="BH138" s="202">
        <v>1607</v>
      </c>
      <c r="BI138" s="202">
        <v>1628</v>
      </c>
      <c r="BJ138" s="202">
        <v>1649</v>
      </c>
      <c r="BK138" s="202">
        <v>1671</v>
      </c>
    </row>
    <row r="139" spans="37:63" ht="15" hidden="1">
      <c r="AK139" s="196" t="s">
        <v>138</v>
      </c>
      <c r="AL139" s="197">
        <v>1394</v>
      </c>
      <c r="AM139" s="197">
        <v>1410</v>
      </c>
      <c r="AN139" s="197">
        <v>1427</v>
      </c>
      <c r="AO139" s="197">
        <v>1443</v>
      </c>
      <c r="AP139" s="197">
        <v>1460</v>
      </c>
      <c r="AQ139" s="197">
        <v>1477</v>
      </c>
      <c r="AR139" s="197">
        <v>1494</v>
      </c>
      <c r="AS139" s="197">
        <v>1511</v>
      </c>
      <c r="AT139" s="197">
        <v>1529</v>
      </c>
      <c r="AU139" s="197">
        <v>1546</v>
      </c>
      <c r="AV139" s="197">
        <v>1564</v>
      </c>
      <c r="AW139" s="197">
        <v>1582</v>
      </c>
      <c r="AY139" s="196" t="s">
        <v>144</v>
      </c>
      <c r="AZ139" s="202">
        <v>1692</v>
      </c>
      <c r="BA139" s="202">
        <v>1714</v>
      </c>
      <c r="BB139" s="202">
        <v>1736</v>
      </c>
      <c r="BC139" s="202">
        <v>1758</v>
      </c>
      <c r="BD139" s="202">
        <v>1780</v>
      </c>
      <c r="BE139" s="202">
        <v>1803</v>
      </c>
      <c r="BF139" s="202">
        <v>1825</v>
      </c>
      <c r="BG139" s="202">
        <v>1848</v>
      </c>
      <c r="BH139" s="202">
        <v>1871</v>
      </c>
      <c r="BI139" s="202">
        <v>1894</v>
      </c>
      <c r="BJ139" s="202">
        <v>1917</v>
      </c>
      <c r="BK139" s="202">
        <v>1940</v>
      </c>
    </row>
    <row r="140" spans="37:63" ht="15" hidden="1">
      <c r="AK140" s="196" t="s">
        <v>139</v>
      </c>
      <c r="AL140" s="197">
        <v>1598</v>
      </c>
      <c r="AM140" s="197">
        <v>1614</v>
      </c>
      <c r="AN140" s="197">
        <v>1630</v>
      </c>
      <c r="AO140" s="197">
        <v>1646</v>
      </c>
      <c r="AP140" s="197">
        <v>1663</v>
      </c>
      <c r="AQ140" s="197">
        <v>1679</v>
      </c>
      <c r="AR140" s="197">
        <v>1696</v>
      </c>
      <c r="AS140" s="197">
        <v>1712</v>
      </c>
      <c r="AT140" s="197">
        <v>1729</v>
      </c>
      <c r="AU140" s="197">
        <v>1746</v>
      </c>
      <c r="AV140" s="197">
        <v>1763</v>
      </c>
      <c r="AW140" s="197">
        <v>1780</v>
      </c>
      <c r="AY140" s="196" t="s">
        <v>145</v>
      </c>
      <c r="AZ140" s="202">
        <v>1963</v>
      </c>
      <c r="BA140" s="202">
        <v>1987</v>
      </c>
      <c r="BB140" s="202">
        <v>2011</v>
      </c>
      <c r="BC140" s="202">
        <v>2035</v>
      </c>
      <c r="BD140" s="202">
        <v>2059</v>
      </c>
      <c r="BE140" s="202">
        <v>2083</v>
      </c>
      <c r="BF140" s="202">
        <v>2107</v>
      </c>
      <c r="BG140" s="202">
        <v>2132</v>
      </c>
      <c r="BH140" s="202">
        <v>2156</v>
      </c>
      <c r="BI140" s="202">
        <v>2181</v>
      </c>
      <c r="BJ140" s="202">
        <v>2206</v>
      </c>
      <c r="BK140" s="202">
        <v>2231</v>
      </c>
    </row>
    <row r="141" spans="37:63" ht="15" hidden="1">
      <c r="AK141" s="196" t="s">
        <v>140</v>
      </c>
      <c r="AL141" s="197">
        <v>1797</v>
      </c>
      <c r="AM141" s="197">
        <v>1815</v>
      </c>
      <c r="AN141" s="197">
        <v>1832</v>
      </c>
      <c r="AO141" s="197">
        <v>1850</v>
      </c>
      <c r="AP141" s="197">
        <v>1867</v>
      </c>
      <c r="AQ141" s="197">
        <v>1885</v>
      </c>
      <c r="AR141" s="197">
        <v>1903</v>
      </c>
      <c r="AS141" s="197">
        <v>1921</v>
      </c>
      <c r="AT141" s="197">
        <v>1939</v>
      </c>
      <c r="AU141" s="197">
        <v>1958</v>
      </c>
      <c r="AV141" s="197">
        <v>1974</v>
      </c>
      <c r="AW141" s="197">
        <v>1995</v>
      </c>
      <c r="AY141" s="196" t="s">
        <v>146</v>
      </c>
      <c r="AZ141" s="202">
        <v>2257</v>
      </c>
      <c r="BA141" s="202">
        <v>2283</v>
      </c>
      <c r="BB141" s="202">
        <v>2310</v>
      </c>
      <c r="BC141" s="202">
        <v>2337</v>
      </c>
      <c r="BD141" s="202">
        <v>2364</v>
      </c>
      <c r="BE141" s="202">
        <v>2392</v>
      </c>
      <c r="BF141" s="202">
        <v>2420</v>
      </c>
      <c r="BG141" s="202">
        <v>2447</v>
      </c>
      <c r="BH141" s="202">
        <v>2475</v>
      </c>
      <c r="BI141" s="202">
        <v>2504</v>
      </c>
      <c r="BJ141" s="202">
        <v>2532</v>
      </c>
      <c r="BK141" s="202">
        <v>2561</v>
      </c>
    </row>
    <row r="142" spans="37:63" ht="15" hidden="1">
      <c r="AK142" s="196" t="s">
        <v>141</v>
      </c>
      <c r="AL142" s="197">
        <v>2013</v>
      </c>
      <c r="AM142" s="197">
        <v>2032</v>
      </c>
      <c r="AN142" s="197">
        <v>2051</v>
      </c>
      <c r="AO142" s="197">
        <v>2070</v>
      </c>
      <c r="AP142" s="197">
        <v>2089</v>
      </c>
      <c r="AQ142" s="197">
        <v>2109</v>
      </c>
      <c r="AR142" s="197">
        <v>2128</v>
      </c>
      <c r="AS142" s="197">
        <v>2147</v>
      </c>
      <c r="AT142" s="197">
        <v>2167</v>
      </c>
      <c r="AU142" s="197">
        <v>2187</v>
      </c>
      <c r="AV142" s="197">
        <v>2207</v>
      </c>
      <c r="AW142" s="197">
        <v>2227</v>
      </c>
      <c r="AY142" s="196" t="s">
        <v>242</v>
      </c>
      <c r="AZ142" s="202">
        <v>2589</v>
      </c>
      <c r="BA142" s="202">
        <v>2618</v>
      </c>
      <c r="BB142" s="202">
        <v>2648</v>
      </c>
      <c r="BC142" s="202">
        <v>2677</v>
      </c>
      <c r="BD142" s="202">
        <v>2706</v>
      </c>
      <c r="BE142" s="203">
        <v>2737</v>
      </c>
      <c r="BF142" s="203">
        <v>2767</v>
      </c>
      <c r="BG142" s="203">
        <v>2797</v>
      </c>
      <c r="BH142" s="203">
        <v>2828</v>
      </c>
      <c r="BI142" s="203">
        <v>2859</v>
      </c>
      <c r="BJ142" s="203">
        <v>2890</v>
      </c>
      <c r="BK142" s="203">
        <v>2921</v>
      </c>
    </row>
    <row r="143" spans="37:63" ht="15" hidden="1">
      <c r="AK143" s="196" t="s">
        <v>142</v>
      </c>
      <c r="AL143" s="197">
        <v>2247</v>
      </c>
      <c r="AM143" s="197">
        <v>2267</v>
      </c>
      <c r="AN143" s="197">
        <v>2288</v>
      </c>
      <c r="AO143" s="197">
        <v>2308</v>
      </c>
      <c r="AP143" s="197">
        <v>2329</v>
      </c>
      <c r="AQ143" s="197">
        <v>2350</v>
      </c>
      <c r="AR143" s="197">
        <v>2371</v>
      </c>
      <c r="AS143" s="197">
        <v>2392</v>
      </c>
      <c r="AT143" s="197">
        <v>2414</v>
      </c>
      <c r="AU143" s="197">
        <v>2435</v>
      </c>
      <c r="AV143" s="197">
        <v>2456</v>
      </c>
      <c r="AW143" s="197">
        <v>2478</v>
      </c>
      <c r="AY143" s="195" t="s">
        <v>314</v>
      </c>
      <c r="AZ143" s="203">
        <v>2953</v>
      </c>
      <c r="BA143" s="203">
        <v>2984</v>
      </c>
      <c r="BB143" s="203">
        <v>3016</v>
      </c>
      <c r="BC143" s="203">
        <v>3049</v>
      </c>
      <c r="BD143" s="203">
        <v>3081</v>
      </c>
      <c r="BE143"/>
      <c r="BF143"/>
      <c r="BG143"/>
      <c r="BH143"/>
      <c r="BI143"/>
      <c r="BJ143"/>
      <c r="BK143"/>
    </row>
    <row r="144" spans="37:49" ht="15" hidden="1">
      <c r="AK144" s="196" t="s">
        <v>143</v>
      </c>
      <c r="AL144" s="197">
        <v>2500</v>
      </c>
      <c r="AM144" s="197">
        <v>2522</v>
      </c>
      <c r="AN144" s="197">
        <v>2544</v>
      </c>
      <c r="AO144" s="197">
        <v>2566</v>
      </c>
      <c r="AP144" s="197">
        <v>2589</v>
      </c>
      <c r="AQ144" s="197">
        <v>2612</v>
      </c>
      <c r="AR144" s="197">
        <v>2634</v>
      </c>
      <c r="AS144" s="197">
        <v>2657</v>
      </c>
      <c r="AT144" s="197">
        <v>2680</v>
      </c>
      <c r="AU144" s="197">
        <v>2703</v>
      </c>
      <c r="AV144" s="197">
        <v>2727</v>
      </c>
      <c r="AW144" s="197">
        <v>2750</v>
      </c>
    </row>
    <row r="145" spans="37:49" ht="15" hidden="1">
      <c r="AK145" s="196" t="s">
        <v>144</v>
      </c>
      <c r="AL145" s="197">
        <v>2774</v>
      </c>
      <c r="AM145" s="197">
        <v>2797</v>
      </c>
      <c r="AN145" s="197">
        <v>2822</v>
      </c>
      <c r="AO145" s="197">
        <v>2846</v>
      </c>
      <c r="AP145" s="197">
        <v>2870</v>
      </c>
      <c r="AQ145" s="197">
        <v>2895</v>
      </c>
      <c r="AR145" s="197">
        <v>2919</v>
      </c>
      <c r="AS145" s="197">
        <v>2944</v>
      </c>
      <c r="AT145" s="197">
        <v>2969</v>
      </c>
      <c r="AU145" s="197">
        <v>2994</v>
      </c>
      <c r="AV145" s="197">
        <v>3019</v>
      </c>
      <c r="AW145" s="197">
        <v>3045</v>
      </c>
    </row>
    <row r="146" spans="37:49" ht="15" hidden="1">
      <c r="AK146" s="196" t="s">
        <v>145</v>
      </c>
      <c r="AL146" s="197">
        <v>3070</v>
      </c>
      <c r="AM146" s="197">
        <v>3096</v>
      </c>
      <c r="AN146" s="197">
        <v>3122</v>
      </c>
      <c r="AO146" s="197">
        <v>3148</v>
      </c>
      <c r="AP146" s="197">
        <v>3174</v>
      </c>
      <c r="AQ146" s="197">
        <v>3201</v>
      </c>
      <c r="AR146" s="197">
        <v>3227</v>
      </c>
      <c r="AS146" s="197">
        <v>3254</v>
      </c>
      <c r="AT146" s="197">
        <v>3281</v>
      </c>
      <c r="AU146" s="197">
        <v>3308</v>
      </c>
      <c r="AV146" s="197">
        <v>3336</v>
      </c>
      <c r="AW146" s="197">
        <v>3364</v>
      </c>
    </row>
    <row r="147" spans="37:49" ht="15" hidden="1">
      <c r="AK147" s="196" t="s">
        <v>146</v>
      </c>
      <c r="AL147" s="197">
        <v>3391</v>
      </c>
      <c r="AM147" s="197">
        <v>3421</v>
      </c>
      <c r="AN147" s="197">
        <v>3451</v>
      </c>
      <c r="AO147" s="197">
        <v>3482</v>
      </c>
      <c r="AP147" s="197">
        <v>3512</v>
      </c>
      <c r="AQ147" s="197">
        <v>3543</v>
      </c>
      <c r="AR147" s="197">
        <v>3574</v>
      </c>
      <c r="AS147" s="197">
        <v>3605</v>
      </c>
      <c r="AT147" s="197">
        <v>3637</v>
      </c>
      <c r="AU147" s="197">
        <v>3669</v>
      </c>
      <c r="AV147" s="197">
        <v>3700</v>
      </c>
      <c r="AW147" s="197">
        <v>3733</v>
      </c>
    </row>
    <row r="148" spans="37:49" ht="15" hidden="1">
      <c r="AK148" s="196" t="s">
        <v>242</v>
      </c>
      <c r="AL148" s="197">
        <v>3765</v>
      </c>
      <c r="AM148" s="197">
        <v>3798</v>
      </c>
      <c r="AN148" s="197">
        <v>3831</v>
      </c>
      <c r="AO148" s="197">
        <v>3864</v>
      </c>
      <c r="AP148" s="197">
        <v>3897</v>
      </c>
      <c r="AQ148" s="199">
        <v>3931</v>
      </c>
      <c r="AR148" s="199">
        <v>3965</v>
      </c>
      <c r="AS148" s="199">
        <v>4000</v>
      </c>
      <c r="AT148" s="199">
        <v>4035</v>
      </c>
      <c r="AU148" s="199">
        <v>4070</v>
      </c>
      <c r="AV148" s="199">
        <v>4105</v>
      </c>
      <c r="AW148" s="199">
        <v>4140</v>
      </c>
    </row>
    <row r="149" spans="37:49" ht="15" hidden="1">
      <c r="AK149" s="195" t="s">
        <v>314</v>
      </c>
      <c r="AL149" s="199">
        <v>4176</v>
      </c>
      <c r="AM149" s="199">
        <v>4212</v>
      </c>
      <c r="AN149" s="199">
        <v>4248</v>
      </c>
      <c r="AO149" s="199">
        <v>4285</v>
      </c>
      <c r="AP149" s="199">
        <v>4321</v>
      </c>
      <c r="AQ149"/>
      <c r="AR149"/>
      <c r="AS149"/>
      <c r="AT149"/>
      <c r="AU149"/>
      <c r="AV149"/>
      <c r="AW149"/>
    </row>
    <row r="150" spans="37:63" ht="15" hidden="1">
      <c r="AK150" s="195" t="s">
        <v>153</v>
      </c>
      <c r="AL150" s="196" t="s">
        <v>116</v>
      </c>
      <c r="AM150" s="196" t="s">
        <v>117</v>
      </c>
      <c r="AN150" s="196" t="s">
        <v>118</v>
      </c>
      <c r="AO150" s="196" t="s">
        <v>124</v>
      </c>
      <c r="AP150" s="196" t="s">
        <v>125</v>
      </c>
      <c r="AQ150" s="196" t="s">
        <v>126</v>
      </c>
      <c r="AR150" s="196" t="s">
        <v>119</v>
      </c>
      <c r="AS150" s="196" t="s">
        <v>149</v>
      </c>
      <c r="AT150" s="196" t="s">
        <v>121</v>
      </c>
      <c r="AU150" s="196" t="s">
        <v>122</v>
      </c>
      <c r="AV150" s="196" t="s">
        <v>241</v>
      </c>
      <c r="AW150" s="196" t="s">
        <v>128</v>
      </c>
      <c r="AY150" s="201" t="s">
        <v>123</v>
      </c>
      <c r="AZ150" s="201" t="s">
        <v>116</v>
      </c>
      <c r="BA150" s="201" t="s">
        <v>117</v>
      </c>
      <c r="BB150" s="201" t="s">
        <v>118</v>
      </c>
      <c r="BC150" s="201" t="s">
        <v>124</v>
      </c>
      <c r="BD150" s="201" t="s">
        <v>125</v>
      </c>
      <c r="BE150" s="201" t="s">
        <v>126</v>
      </c>
      <c r="BF150" s="201" t="s">
        <v>119</v>
      </c>
      <c r="BG150" s="201" t="s">
        <v>120</v>
      </c>
      <c r="BH150" s="201" t="s">
        <v>121</v>
      </c>
      <c r="BI150" s="201" t="s">
        <v>122</v>
      </c>
      <c r="BJ150" s="201" t="s">
        <v>127</v>
      </c>
      <c r="BK150" s="201" t="s">
        <v>128</v>
      </c>
    </row>
    <row r="151" spans="37:63" ht="15" hidden="1">
      <c r="AK151" s="196" t="s">
        <v>129</v>
      </c>
      <c r="AL151" s="197">
        <v>10</v>
      </c>
      <c r="AM151" s="197">
        <v>20</v>
      </c>
      <c r="AN151" s="197">
        <v>30</v>
      </c>
      <c r="AO151" s="197">
        <v>40</v>
      </c>
      <c r="AP151" s="197">
        <v>50</v>
      </c>
      <c r="AQ151" s="197">
        <v>60</v>
      </c>
      <c r="AR151" s="197">
        <v>71</v>
      </c>
      <c r="AS151" s="197">
        <v>81</v>
      </c>
      <c r="AT151" s="197">
        <v>92</v>
      </c>
      <c r="AU151" s="197">
        <v>103</v>
      </c>
      <c r="AV151" s="197">
        <v>113</v>
      </c>
      <c r="AW151" s="197">
        <v>124</v>
      </c>
      <c r="AY151" s="196" t="s">
        <v>136</v>
      </c>
      <c r="AZ151" s="202">
        <v>11</v>
      </c>
      <c r="BA151" s="202">
        <v>21</v>
      </c>
      <c r="BB151" s="202">
        <v>32</v>
      </c>
      <c r="BC151" s="202">
        <v>42</v>
      </c>
      <c r="BD151" s="202">
        <v>53</v>
      </c>
      <c r="BE151" s="202">
        <v>64</v>
      </c>
      <c r="BF151" s="202">
        <v>75</v>
      </c>
      <c r="BG151" s="202">
        <v>86</v>
      </c>
      <c r="BH151" s="202">
        <v>97</v>
      </c>
      <c r="BI151" s="202">
        <v>109</v>
      </c>
      <c r="BJ151" s="202">
        <v>120</v>
      </c>
      <c r="BK151" s="202">
        <v>131</v>
      </c>
    </row>
    <row r="152" spans="37:63" ht="15" hidden="1">
      <c r="AK152" s="196" t="s">
        <v>130</v>
      </c>
      <c r="AL152" s="197">
        <v>135</v>
      </c>
      <c r="AM152" s="197">
        <v>146</v>
      </c>
      <c r="AN152" s="197">
        <v>158</v>
      </c>
      <c r="AO152" s="197">
        <v>169</v>
      </c>
      <c r="AP152" s="197">
        <v>181</v>
      </c>
      <c r="AQ152" s="197">
        <v>192</v>
      </c>
      <c r="AR152" s="197">
        <v>204</v>
      </c>
      <c r="AS152" s="197">
        <v>216</v>
      </c>
      <c r="AT152" s="197">
        <v>228</v>
      </c>
      <c r="AU152" s="197">
        <v>240</v>
      </c>
      <c r="AV152" s="197">
        <v>252</v>
      </c>
      <c r="AW152" s="197">
        <v>264</v>
      </c>
      <c r="AY152" s="196" t="s">
        <v>137</v>
      </c>
      <c r="AZ152" s="202">
        <v>143</v>
      </c>
      <c r="BA152" s="202">
        <v>154</v>
      </c>
      <c r="BB152" s="202">
        <v>166</v>
      </c>
      <c r="BC152" s="202">
        <v>178</v>
      </c>
      <c r="BD152" s="202">
        <v>190</v>
      </c>
      <c r="BE152" s="202">
        <v>201</v>
      </c>
      <c r="BF152" s="202">
        <v>213</v>
      </c>
      <c r="BG152" s="202">
        <v>226</v>
      </c>
      <c r="BH152" s="202">
        <v>238</v>
      </c>
      <c r="BI152" s="202">
        <v>250</v>
      </c>
      <c r="BJ152" s="202">
        <v>262</v>
      </c>
      <c r="BK152" s="202">
        <v>275</v>
      </c>
    </row>
    <row r="153" spans="37:63" ht="15" hidden="1">
      <c r="AK153" s="196" t="s">
        <v>131</v>
      </c>
      <c r="AL153" s="197">
        <v>277</v>
      </c>
      <c r="AM153" s="197">
        <v>289</v>
      </c>
      <c r="AN153" s="197">
        <v>302</v>
      </c>
      <c r="AO153" s="197">
        <v>315</v>
      </c>
      <c r="AP153" s="197">
        <v>327</v>
      </c>
      <c r="AQ153" s="197">
        <v>340</v>
      </c>
      <c r="AR153" s="197">
        <v>354</v>
      </c>
      <c r="AS153" s="197">
        <v>367</v>
      </c>
      <c r="AT153" s="197">
        <v>380</v>
      </c>
      <c r="AU153" s="197">
        <v>394</v>
      </c>
      <c r="AV153" s="197">
        <v>408</v>
      </c>
      <c r="AW153" s="197">
        <v>422</v>
      </c>
      <c r="AY153" s="196" t="s">
        <v>138</v>
      </c>
      <c r="AZ153" s="202">
        <v>287</v>
      </c>
      <c r="BA153" s="202">
        <v>300</v>
      </c>
      <c r="BB153" s="202">
        <v>313</v>
      </c>
      <c r="BC153" s="202">
        <v>326</v>
      </c>
      <c r="BD153" s="202">
        <v>339</v>
      </c>
      <c r="BE153" s="202">
        <v>352</v>
      </c>
      <c r="BF153" s="202">
        <v>365</v>
      </c>
      <c r="BG153" s="202">
        <v>378</v>
      </c>
      <c r="BH153" s="202">
        <v>391</v>
      </c>
      <c r="BI153" s="202">
        <v>405</v>
      </c>
      <c r="BJ153" s="202">
        <v>418</v>
      </c>
      <c r="BK153" s="202">
        <v>432</v>
      </c>
    </row>
    <row r="154" spans="37:63" ht="15" hidden="1">
      <c r="AK154" s="196" t="s">
        <v>132</v>
      </c>
      <c r="AL154" s="197">
        <v>435</v>
      </c>
      <c r="AM154" s="197">
        <v>450</v>
      </c>
      <c r="AN154" s="197">
        <v>464</v>
      </c>
      <c r="AO154" s="197">
        <v>478</v>
      </c>
      <c r="AP154" s="197">
        <v>493</v>
      </c>
      <c r="AQ154" s="197">
        <v>507</v>
      </c>
      <c r="AR154" s="197">
        <v>522</v>
      </c>
      <c r="AS154" s="197">
        <v>537</v>
      </c>
      <c r="AT154" s="197">
        <v>552</v>
      </c>
      <c r="AU154" s="197">
        <v>568</v>
      </c>
      <c r="AV154" s="197">
        <v>583</v>
      </c>
      <c r="AW154" s="197">
        <v>599</v>
      </c>
      <c r="AY154" s="196" t="s">
        <v>139</v>
      </c>
      <c r="AZ154" s="202">
        <v>445</v>
      </c>
      <c r="BA154" s="202">
        <v>459</v>
      </c>
      <c r="BB154" s="202">
        <v>472</v>
      </c>
      <c r="BC154" s="202">
        <v>486</v>
      </c>
      <c r="BD154" s="202">
        <v>500</v>
      </c>
      <c r="BE154" s="202">
        <v>513</v>
      </c>
      <c r="BF154" s="202">
        <v>527</v>
      </c>
      <c r="BG154" s="202">
        <v>541</v>
      </c>
      <c r="BH154" s="202">
        <v>555</v>
      </c>
      <c r="BI154" s="202">
        <v>570</v>
      </c>
      <c r="BJ154" s="202">
        <v>584</v>
      </c>
      <c r="BK154" s="202">
        <v>598</v>
      </c>
    </row>
    <row r="155" spans="37:63" ht="15" hidden="1">
      <c r="AK155" s="196" t="s">
        <v>133</v>
      </c>
      <c r="AL155" s="197">
        <v>614</v>
      </c>
      <c r="AM155" s="197">
        <v>630</v>
      </c>
      <c r="AN155" s="197">
        <v>646</v>
      </c>
      <c r="AO155" s="197">
        <v>663</v>
      </c>
      <c r="AP155" s="197">
        <v>679</v>
      </c>
      <c r="AQ155" s="197">
        <v>695</v>
      </c>
      <c r="AR155" s="197">
        <v>712</v>
      </c>
      <c r="AS155" s="197">
        <v>729</v>
      </c>
      <c r="AT155" s="197">
        <v>746</v>
      </c>
      <c r="AU155" s="197">
        <v>763</v>
      </c>
      <c r="AV155" s="197">
        <v>781</v>
      </c>
      <c r="AW155" s="197">
        <v>798</v>
      </c>
      <c r="AY155" s="196" t="s">
        <v>140</v>
      </c>
      <c r="AZ155" s="202">
        <v>613</v>
      </c>
      <c r="BA155" s="202">
        <v>627</v>
      </c>
      <c r="BB155" s="202">
        <v>642</v>
      </c>
      <c r="BC155" s="202">
        <v>657</v>
      </c>
      <c r="BD155" s="202">
        <v>672</v>
      </c>
      <c r="BE155" s="202">
        <v>687</v>
      </c>
      <c r="BF155" s="202">
        <v>702</v>
      </c>
      <c r="BG155" s="202">
        <v>717</v>
      </c>
      <c r="BH155" s="202">
        <v>732</v>
      </c>
      <c r="BI155" s="202">
        <v>747</v>
      </c>
      <c r="BJ155" s="202">
        <v>763</v>
      </c>
      <c r="BK155" s="202">
        <v>778</v>
      </c>
    </row>
    <row r="156" spans="37:63" ht="15" hidden="1">
      <c r="AK156" s="196" t="s">
        <v>134</v>
      </c>
      <c r="AL156" s="197">
        <v>816</v>
      </c>
      <c r="AM156" s="197">
        <v>834</v>
      </c>
      <c r="AN156" s="197">
        <v>852</v>
      </c>
      <c r="AO156" s="197">
        <v>870</v>
      </c>
      <c r="AP156" s="197">
        <v>888</v>
      </c>
      <c r="AQ156" s="197">
        <v>905</v>
      </c>
      <c r="AR156" s="197">
        <v>922</v>
      </c>
      <c r="AS156" s="197">
        <v>940</v>
      </c>
      <c r="AT156" s="197">
        <v>957</v>
      </c>
      <c r="AU156" s="197">
        <v>975</v>
      </c>
      <c r="AV156" s="197">
        <v>993</v>
      </c>
      <c r="AW156" s="197">
        <v>1011</v>
      </c>
      <c r="AY156" s="196" t="s">
        <v>141</v>
      </c>
      <c r="AZ156" s="202">
        <v>794</v>
      </c>
      <c r="BA156" s="202">
        <v>810</v>
      </c>
      <c r="BB156" s="202">
        <v>826</v>
      </c>
      <c r="BC156" s="202">
        <v>842</v>
      </c>
      <c r="BD156" s="202">
        <v>858</v>
      </c>
      <c r="BE156" s="202">
        <v>874</v>
      </c>
      <c r="BF156" s="202">
        <v>891</v>
      </c>
      <c r="BG156" s="202">
        <v>907</v>
      </c>
      <c r="BH156" s="202">
        <v>924</v>
      </c>
      <c r="BI156" s="202">
        <v>940</v>
      </c>
      <c r="BJ156" s="202">
        <v>957</v>
      </c>
      <c r="BK156" s="202">
        <v>974</v>
      </c>
    </row>
    <row r="157" spans="37:63" ht="15" hidden="1">
      <c r="AK157" s="196" t="s">
        <v>135</v>
      </c>
      <c r="AL157" s="197">
        <v>1029</v>
      </c>
      <c r="AM157" s="197">
        <v>1047</v>
      </c>
      <c r="AN157" s="197">
        <v>1066</v>
      </c>
      <c r="AO157" s="197">
        <v>1085</v>
      </c>
      <c r="AP157" s="197">
        <v>1103</v>
      </c>
      <c r="AQ157" s="197">
        <v>1120</v>
      </c>
      <c r="AR157" s="197">
        <v>1136</v>
      </c>
      <c r="AS157" s="197">
        <v>1153</v>
      </c>
      <c r="AT157" s="197">
        <v>1170</v>
      </c>
      <c r="AU157" s="197">
        <v>1187</v>
      </c>
      <c r="AV157" s="197">
        <v>1204</v>
      </c>
      <c r="AW157" s="197">
        <v>1221</v>
      </c>
      <c r="AY157" s="196" t="s">
        <v>142</v>
      </c>
      <c r="AZ157" s="202">
        <v>991</v>
      </c>
      <c r="BA157" s="202">
        <v>1008</v>
      </c>
      <c r="BB157" s="202">
        <v>1025</v>
      </c>
      <c r="BC157" s="202">
        <v>1042</v>
      </c>
      <c r="BD157" s="202">
        <v>1060</v>
      </c>
      <c r="BE157" s="202">
        <v>1077</v>
      </c>
      <c r="BF157" s="202">
        <v>1095</v>
      </c>
      <c r="BG157" s="202">
        <v>1113</v>
      </c>
      <c r="BH157" s="202">
        <v>1131</v>
      </c>
      <c r="BI157" s="202">
        <v>1149</v>
      </c>
      <c r="BJ157" s="202">
        <v>1167</v>
      </c>
      <c r="BK157" s="202">
        <v>1185</v>
      </c>
    </row>
    <row r="158" spans="37:63" ht="15" hidden="1">
      <c r="AK158" s="196" t="s">
        <v>136</v>
      </c>
      <c r="AL158" s="197">
        <v>1239</v>
      </c>
      <c r="AM158" s="197">
        <v>1256</v>
      </c>
      <c r="AN158" s="197">
        <v>1274</v>
      </c>
      <c r="AO158" s="197">
        <v>1292</v>
      </c>
      <c r="AP158" s="197">
        <v>1309</v>
      </c>
      <c r="AQ158" s="197">
        <v>1327</v>
      </c>
      <c r="AR158" s="197">
        <v>1344</v>
      </c>
      <c r="AS158" s="197">
        <v>1361</v>
      </c>
      <c r="AT158" s="197">
        <v>1379</v>
      </c>
      <c r="AU158" s="197">
        <v>1396</v>
      </c>
      <c r="AV158" s="197">
        <v>1414</v>
      </c>
      <c r="AW158" s="197">
        <v>1432</v>
      </c>
      <c r="AY158" s="196" t="s">
        <v>143</v>
      </c>
      <c r="AZ158" s="202">
        <v>1204</v>
      </c>
      <c r="BA158" s="202">
        <v>1222</v>
      </c>
      <c r="BB158" s="202">
        <v>1241</v>
      </c>
      <c r="BC158" s="202">
        <v>1259</v>
      </c>
      <c r="BD158" s="202">
        <v>1278</v>
      </c>
      <c r="BE158" s="202">
        <v>1297</v>
      </c>
      <c r="BF158" s="202">
        <v>1317</v>
      </c>
      <c r="BG158" s="202">
        <v>1336</v>
      </c>
      <c r="BH158" s="202">
        <v>1355</v>
      </c>
      <c r="BI158" s="202">
        <v>1375</v>
      </c>
      <c r="BJ158" s="202">
        <v>1394</v>
      </c>
      <c r="BK158" s="202">
        <v>1414</v>
      </c>
    </row>
    <row r="159" spans="37:63" ht="15" hidden="1">
      <c r="AK159" s="196" t="s">
        <v>137</v>
      </c>
      <c r="AL159" s="197">
        <v>1450</v>
      </c>
      <c r="AM159" s="197">
        <v>1468</v>
      </c>
      <c r="AN159" s="197">
        <v>1486</v>
      </c>
      <c r="AO159" s="197">
        <v>1505</v>
      </c>
      <c r="AP159" s="197">
        <v>1523</v>
      </c>
      <c r="AQ159" s="197">
        <v>1542</v>
      </c>
      <c r="AR159" s="197">
        <v>1561</v>
      </c>
      <c r="AS159" s="197">
        <v>1580</v>
      </c>
      <c r="AT159" s="197">
        <v>1599</v>
      </c>
      <c r="AU159" s="197">
        <v>1618</v>
      </c>
      <c r="AV159" s="197">
        <v>1638</v>
      </c>
      <c r="AW159" s="197">
        <v>1657</v>
      </c>
      <c r="AY159" s="196" t="s">
        <v>144</v>
      </c>
      <c r="AZ159" s="202">
        <v>1434</v>
      </c>
      <c r="BA159" s="202">
        <v>1454</v>
      </c>
      <c r="BB159" s="202">
        <v>1474</v>
      </c>
      <c r="BC159" s="202">
        <v>1495</v>
      </c>
      <c r="BD159" s="202">
        <v>1515</v>
      </c>
      <c r="BE159" s="202">
        <v>1536</v>
      </c>
      <c r="BF159" s="202">
        <v>1556</v>
      </c>
      <c r="BG159" s="202">
        <v>1577</v>
      </c>
      <c r="BH159" s="202">
        <v>1598</v>
      </c>
      <c r="BI159" s="202">
        <v>1619</v>
      </c>
      <c r="BJ159" s="202">
        <v>1641</v>
      </c>
      <c r="BK159" s="202">
        <v>1662</v>
      </c>
    </row>
    <row r="160" spans="37:63" ht="15" hidden="1">
      <c r="AK160" s="196" t="s">
        <v>138</v>
      </c>
      <c r="AL160" s="197">
        <v>1677</v>
      </c>
      <c r="AM160" s="197">
        <v>1697</v>
      </c>
      <c r="AN160" s="197">
        <v>1717</v>
      </c>
      <c r="AO160" s="197">
        <v>1737</v>
      </c>
      <c r="AP160" s="197">
        <v>1757</v>
      </c>
      <c r="AQ160" s="197">
        <v>1778</v>
      </c>
      <c r="AR160" s="197">
        <v>1799</v>
      </c>
      <c r="AS160" s="197">
        <v>1819</v>
      </c>
      <c r="AT160" s="197">
        <v>1840</v>
      </c>
      <c r="AU160" s="197">
        <v>1861</v>
      </c>
      <c r="AV160" s="197">
        <v>1882</v>
      </c>
      <c r="AW160" s="197">
        <v>1904</v>
      </c>
      <c r="AY160" s="196" t="s">
        <v>145</v>
      </c>
      <c r="AZ160" s="202">
        <v>1684</v>
      </c>
      <c r="BA160" s="202">
        <v>1705</v>
      </c>
      <c r="BB160" s="202">
        <v>1727</v>
      </c>
      <c r="BC160" s="202">
        <v>1749</v>
      </c>
      <c r="BD160" s="202">
        <v>1771</v>
      </c>
      <c r="BE160" s="202">
        <v>1794</v>
      </c>
      <c r="BF160" s="202">
        <v>1816</v>
      </c>
      <c r="BG160" s="202">
        <v>1839</v>
      </c>
      <c r="BH160" s="202">
        <v>1861</v>
      </c>
      <c r="BI160" s="202">
        <v>1884</v>
      </c>
      <c r="BJ160" s="202">
        <v>1907</v>
      </c>
      <c r="BK160" s="202">
        <v>1930</v>
      </c>
    </row>
    <row r="161" spans="37:63" ht="15" hidden="1">
      <c r="AK161" s="196" t="s">
        <v>139</v>
      </c>
      <c r="AL161" s="197">
        <v>1923</v>
      </c>
      <c r="AM161" s="197">
        <v>1942</v>
      </c>
      <c r="AN161" s="197">
        <v>1962</v>
      </c>
      <c r="AO161" s="197">
        <v>1981</v>
      </c>
      <c r="AP161" s="197">
        <v>2001</v>
      </c>
      <c r="AQ161" s="197">
        <v>2021</v>
      </c>
      <c r="AR161" s="197">
        <v>2041</v>
      </c>
      <c r="AS161" s="197">
        <v>2061</v>
      </c>
      <c r="AT161" s="197">
        <v>2081</v>
      </c>
      <c r="AU161" s="197">
        <v>2101</v>
      </c>
      <c r="AV161" s="197">
        <v>2122</v>
      </c>
      <c r="AW161" s="197">
        <v>2142</v>
      </c>
      <c r="AY161" s="196" t="s">
        <v>146</v>
      </c>
      <c r="AZ161" s="202">
        <v>1954</v>
      </c>
      <c r="BA161" s="202">
        <v>1978</v>
      </c>
      <c r="BB161" s="202">
        <v>2003</v>
      </c>
      <c r="BC161" s="202">
        <v>2028</v>
      </c>
      <c r="BD161" s="202">
        <v>2053</v>
      </c>
      <c r="BE161" s="202">
        <v>2078</v>
      </c>
      <c r="BF161" s="202">
        <v>2103</v>
      </c>
      <c r="BG161" s="202">
        <v>2129</v>
      </c>
      <c r="BH161" s="202">
        <v>2155</v>
      </c>
      <c r="BI161" s="202">
        <v>2180</v>
      </c>
      <c r="BJ161" s="202">
        <v>2206</v>
      </c>
      <c r="BK161" s="202">
        <v>2233</v>
      </c>
    </row>
    <row r="162" spans="37:63" ht="15" hidden="1">
      <c r="AK162" s="196" t="s">
        <v>140</v>
      </c>
      <c r="AL162" s="197">
        <v>2163</v>
      </c>
      <c r="AM162" s="197">
        <v>2184</v>
      </c>
      <c r="AN162" s="197">
        <v>2205</v>
      </c>
      <c r="AO162" s="197">
        <v>2226</v>
      </c>
      <c r="AP162" s="197">
        <v>2248</v>
      </c>
      <c r="AQ162" s="197">
        <v>2269</v>
      </c>
      <c r="AR162" s="197">
        <v>2291</v>
      </c>
      <c r="AS162" s="197">
        <v>2312</v>
      </c>
      <c r="AT162" s="197">
        <v>2334</v>
      </c>
      <c r="AU162" s="197">
        <v>2356</v>
      </c>
      <c r="AV162" s="197">
        <v>2378</v>
      </c>
      <c r="AW162" s="197">
        <v>2401</v>
      </c>
      <c r="AY162" s="196" t="s">
        <v>242</v>
      </c>
      <c r="AZ162" s="202">
        <v>2259</v>
      </c>
      <c r="BA162" s="202">
        <v>2286</v>
      </c>
      <c r="BB162" s="202">
        <v>2313</v>
      </c>
      <c r="BC162" s="202">
        <v>2340</v>
      </c>
      <c r="BD162" s="202">
        <v>2367</v>
      </c>
      <c r="BE162" s="203">
        <v>2395</v>
      </c>
      <c r="BF162" s="203">
        <v>2422</v>
      </c>
      <c r="BG162" s="203">
        <v>2450</v>
      </c>
      <c r="BH162" s="203">
        <v>2478</v>
      </c>
      <c r="BI162" s="203">
        <v>2507</v>
      </c>
      <c r="BJ162" s="203">
        <v>2535</v>
      </c>
      <c r="BK162" s="203">
        <v>2564</v>
      </c>
    </row>
    <row r="163" spans="37:63" ht="15" hidden="1">
      <c r="AK163" s="196" t="s">
        <v>141</v>
      </c>
      <c r="AL163" s="197">
        <v>2423</v>
      </c>
      <c r="AM163" s="197">
        <v>2446</v>
      </c>
      <c r="AN163" s="197">
        <v>2469</v>
      </c>
      <c r="AO163" s="197">
        <v>2491</v>
      </c>
      <c r="AP163" s="197">
        <v>2514</v>
      </c>
      <c r="AQ163" s="197">
        <v>2538</v>
      </c>
      <c r="AR163" s="197">
        <v>2561</v>
      </c>
      <c r="AS163" s="197">
        <v>2585</v>
      </c>
      <c r="AT163" s="197">
        <v>2608</v>
      </c>
      <c r="AU163" s="197">
        <v>2632</v>
      </c>
      <c r="AV163" s="197">
        <v>2656</v>
      </c>
      <c r="AW163" s="197">
        <v>2680</v>
      </c>
      <c r="AY163" s="195" t="s">
        <v>314</v>
      </c>
      <c r="AZ163" s="203">
        <v>2593</v>
      </c>
      <c r="BA163" s="203">
        <v>2622</v>
      </c>
      <c r="BB163" s="203">
        <v>2652</v>
      </c>
      <c r="BC163" s="203">
        <v>2681</v>
      </c>
      <c r="BD163" s="203">
        <v>2711</v>
      </c>
      <c r="BE163"/>
      <c r="BF163"/>
      <c r="BG163"/>
      <c r="BH163"/>
      <c r="BI163"/>
      <c r="BJ163"/>
      <c r="BK163"/>
    </row>
    <row r="164" spans="37:49" ht="15" hidden="1">
      <c r="AK164" s="196" t="s">
        <v>142</v>
      </c>
      <c r="AL164" s="197">
        <v>2704</v>
      </c>
      <c r="AM164" s="197">
        <v>2729</v>
      </c>
      <c r="AN164" s="197">
        <v>2754</v>
      </c>
      <c r="AO164" s="197">
        <v>2778</v>
      </c>
      <c r="AP164" s="197">
        <v>2803</v>
      </c>
      <c r="AQ164" s="197">
        <v>2829</v>
      </c>
      <c r="AR164" s="197">
        <v>2854</v>
      </c>
      <c r="AS164" s="197">
        <v>2879</v>
      </c>
      <c r="AT164" s="197">
        <v>2905</v>
      </c>
      <c r="AU164" s="197">
        <v>2931</v>
      </c>
      <c r="AV164" s="197">
        <v>2957</v>
      </c>
      <c r="AW164" s="197">
        <v>2983</v>
      </c>
    </row>
    <row r="165" spans="37:49" ht="15" hidden="1">
      <c r="AK165" s="196" t="s">
        <v>143</v>
      </c>
      <c r="AL165" s="197">
        <v>3009</v>
      </c>
      <c r="AM165" s="197">
        <v>3035</v>
      </c>
      <c r="AN165" s="197">
        <v>3062</v>
      </c>
      <c r="AO165" s="197">
        <v>3089</v>
      </c>
      <c r="AP165" s="197">
        <v>3116</v>
      </c>
      <c r="AQ165" s="197">
        <v>3144</v>
      </c>
      <c r="AR165" s="197">
        <v>3171</v>
      </c>
      <c r="AS165" s="197">
        <v>3198</v>
      </c>
      <c r="AT165" s="197">
        <v>3226</v>
      </c>
      <c r="AU165" s="197">
        <v>3254</v>
      </c>
      <c r="AV165" s="197">
        <v>3282</v>
      </c>
      <c r="AW165" s="197">
        <v>3310</v>
      </c>
    </row>
    <row r="166" spans="37:49" ht="15" hidden="1">
      <c r="AK166" s="196" t="s">
        <v>144</v>
      </c>
      <c r="AL166" s="197">
        <v>3339</v>
      </c>
      <c r="AM166" s="197">
        <v>3367</v>
      </c>
      <c r="AN166" s="197">
        <v>3397</v>
      </c>
      <c r="AO166" s="197">
        <v>3425</v>
      </c>
      <c r="AP166" s="197">
        <v>3454</v>
      </c>
      <c r="AQ166" s="197">
        <v>3484</v>
      </c>
      <c r="AR166" s="197">
        <v>3514</v>
      </c>
      <c r="AS166" s="197">
        <v>3543</v>
      </c>
      <c r="AT166" s="197">
        <v>3574</v>
      </c>
      <c r="AU166" s="197">
        <v>3604</v>
      </c>
      <c r="AV166" s="197">
        <v>3634</v>
      </c>
      <c r="AW166" s="197">
        <v>3665</v>
      </c>
    </row>
    <row r="167" spans="37:49" ht="15" hidden="1">
      <c r="AK167" s="196" t="s">
        <v>145</v>
      </c>
      <c r="AL167" s="197">
        <v>3696</v>
      </c>
      <c r="AM167" s="197">
        <v>3726</v>
      </c>
      <c r="AN167" s="197">
        <v>3758</v>
      </c>
      <c r="AO167" s="197">
        <v>3789</v>
      </c>
      <c r="AP167" s="197">
        <v>3821</v>
      </c>
      <c r="AQ167" s="197">
        <v>3853</v>
      </c>
      <c r="AR167" s="197">
        <v>3885</v>
      </c>
      <c r="AS167" s="197">
        <v>3917</v>
      </c>
      <c r="AT167" s="197">
        <v>3950</v>
      </c>
      <c r="AU167" s="197">
        <v>3982</v>
      </c>
      <c r="AV167" s="197">
        <v>4015</v>
      </c>
      <c r="AW167" s="197">
        <v>4049</v>
      </c>
    </row>
    <row r="168" spans="37:49" ht="15" hidden="1">
      <c r="AK168" s="196" t="s">
        <v>146</v>
      </c>
      <c r="AL168" s="197">
        <v>4082</v>
      </c>
      <c r="AM168" s="197">
        <v>4118</v>
      </c>
      <c r="AN168" s="197">
        <v>4155</v>
      </c>
      <c r="AO168" s="197">
        <v>4191</v>
      </c>
      <c r="AP168" s="197">
        <v>4228</v>
      </c>
      <c r="AQ168" s="197">
        <v>4265</v>
      </c>
      <c r="AR168" s="197">
        <v>4302</v>
      </c>
      <c r="AS168" s="197">
        <v>4340</v>
      </c>
      <c r="AT168" s="197">
        <v>4378</v>
      </c>
      <c r="AU168" s="197">
        <v>4416</v>
      </c>
      <c r="AV168" s="197">
        <v>4454</v>
      </c>
      <c r="AW168" s="197">
        <v>4494</v>
      </c>
    </row>
    <row r="169" spans="37:49" ht="15" hidden="1">
      <c r="AK169" s="196" t="s">
        <v>242</v>
      </c>
      <c r="AL169" s="197">
        <v>4532</v>
      </c>
      <c r="AM169" s="197">
        <v>4571</v>
      </c>
      <c r="AN169" s="197">
        <v>4611</v>
      </c>
      <c r="AO169" s="197">
        <v>4651</v>
      </c>
      <c r="AP169" s="197">
        <v>4691</v>
      </c>
      <c r="AQ169" s="199">
        <v>4732</v>
      </c>
      <c r="AR169" s="199">
        <v>4773</v>
      </c>
      <c r="AS169" s="199">
        <v>4815</v>
      </c>
      <c r="AT169" s="199">
        <v>4857</v>
      </c>
      <c r="AU169" s="199">
        <v>4899</v>
      </c>
      <c r="AV169" s="199">
        <v>4941</v>
      </c>
      <c r="AW169" s="199">
        <v>4984</v>
      </c>
    </row>
    <row r="170" spans="37:49" ht="15" hidden="1">
      <c r="AK170" s="195" t="s">
        <v>314</v>
      </c>
      <c r="AL170" s="199">
        <v>5027</v>
      </c>
      <c r="AM170" s="199">
        <v>5070</v>
      </c>
      <c r="AN170" s="199">
        <v>5114</v>
      </c>
      <c r="AO170" s="199">
        <v>5158</v>
      </c>
      <c r="AP170" s="199">
        <v>5202</v>
      </c>
      <c r="AQ170"/>
      <c r="AR170"/>
      <c r="AS170"/>
      <c r="AT170"/>
      <c r="AU170"/>
      <c r="AV170"/>
      <c r="AW170"/>
    </row>
    <row r="171" spans="37:63" ht="15" hidden="1">
      <c r="AK171" s="195" t="s">
        <v>154</v>
      </c>
      <c r="AL171" s="196" t="s">
        <v>116</v>
      </c>
      <c r="AM171" s="196" t="s">
        <v>117</v>
      </c>
      <c r="AN171" s="196" t="s">
        <v>118</v>
      </c>
      <c r="AO171" s="196" t="s">
        <v>124</v>
      </c>
      <c r="AP171" s="196" t="s">
        <v>125</v>
      </c>
      <c r="AQ171" s="196" t="s">
        <v>126</v>
      </c>
      <c r="AR171" s="196" t="s">
        <v>119</v>
      </c>
      <c r="AS171" s="196" t="s">
        <v>149</v>
      </c>
      <c r="AT171" s="196" t="s">
        <v>121</v>
      </c>
      <c r="AU171" s="196" t="s">
        <v>122</v>
      </c>
      <c r="AV171" s="196" t="s">
        <v>241</v>
      </c>
      <c r="AW171" s="196" t="s">
        <v>128</v>
      </c>
      <c r="AY171" s="201" t="s">
        <v>123</v>
      </c>
      <c r="AZ171" s="201" t="s">
        <v>116</v>
      </c>
      <c r="BA171" s="201" t="s">
        <v>117</v>
      </c>
      <c r="BB171" s="201" t="s">
        <v>118</v>
      </c>
      <c r="BC171" s="201" t="s">
        <v>124</v>
      </c>
      <c r="BD171" s="201" t="s">
        <v>125</v>
      </c>
      <c r="BE171" s="201" t="s">
        <v>126</v>
      </c>
      <c r="BF171" s="201" t="s">
        <v>119</v>
      </c>
      <c r="BG171" s="201" t="s">
        <v>120</v>
      </c>
      <c r="BH171" s="201" t="s">
        <v>121</v>
      </c>
      <c r="BI171" s="201" t="s">
        <v>122</v>
      </c>
      <c r="BJ171" s="201" t="s">
        <v>127</v>
      </c>
      <c r="BK171" s="201" t="s">
        <v>128</v>
      </c>
    </row>
    <row r="172" spans="37:63" ht="15" hidden="1">
      <c r="AK172" s="196" t="s">
        <v>129</v>
      </c>
      <c r="AL172" s="197">
        <v>12</v>
      </c>
      <c r="AM172" s="197">
        <v>23</v>
      </c>
      <c r="AN172" s="197">
        <v>35</v>
      </c>
      <c r="AO172" s="197">
        <v>47</v>
      </c>
      <c r="AP172" s="197">
        <v>60</v>
      </c>
      <c r="AQ172" s="197">
        <v>72</v>
      </c>
      <c r="AR172" s="197">
        <v>84</v>
      </c>
      <c r="AS172" s="197">
        <v>97</v>
      </c>
      <c r="AT172" s="197">
        <v>109</v>
      </c>
      <c r="AU172" s="197">
        <v>122</v>
      </c>
      <c r="AV172" s="197">
        <v>135</v>
      </c>
      <c r="AW172" s="197">
        <v>148</v>
      </c>
      <c r="AY172" s="196" t="s">
        <v>137</v>
      </c>
      <c r="AZ172" s="202">
        <v>11</v>
      </c>
      <c r="BA172" s="202">
        <v>21</v>
      </c>
      <c r="BB172" s="202">
        <v>32</v>
      </c>
      <c r="BC172" s="202">
        <v>42</v>
      </c>
      <c r="BD172" s="202">
        <v>53</v>
      </c>
      <c r="BE172" s="202">
        <v>64</v>
      </c>
      <c r="BF172" s="202">
        <v>75</v>
      </c>
      <c r="BG172" s="202">
        <v>86</v>
      </c>
      <c r="BH172" s="202">
        <v>97</v>
      </c>
      <c r="BI172" s="202">
        <v>109</v>
      </c>
      <c r="BJ172" s="202">
        <v>120</v>
      </c>
      <c r="BK172" s="202">
        <v>131</v>
      </c>
    </row>
    <row r="173" spans="37:63" ht="15" hidden="1">
      <c r="AK173" s="196" t="s">
        <v>130</v>
      </c>
      <c r="AL173" s="197">
        <v>161</v>
      </c>
      <c r="AM173" s="197">
        <v>174</v>
      </c>
      <c r="AN173" s="197">
        <v>188</v>
      </c>
      <c r="AO173" s="197">
        <v>201</v>
      </c>
      <c r="AP173" s="197">
        <v>215</v>
      </c>
      <c r="AQ173" s="197">
        <v>229</v>
      </c>
      <c r="AR173" s="197">
        <v>243</v>
      </c>
      <c r="AS173" s="197">
        <v>257</v>
      </c>
      <c r="AT173" s="197">
        <v>271</v>
      </c>
      <c r="AU173" s="197">
        <v>285</v>
      </c>
      <c r="AV173" s="197">
        <v>300</v>
      </c>
      <c r="AW173" s="197">
        <v>315</v>
      </c>
      <c r="AY173" s="196" t="s">
        <v>138</v>
      </c>
      <c r="AZ173" s="202">
        <v>143</v>
      </c>
      <c r="BA173" s="202">
        <v>154</v>
      </c>
      <c r="BB173" s="202">
        <v>166</v>
      </c>
      <c r="BC173" s="202">
        <v>178</v>
      </c>
      <c r="BD173" s="202">
        <v>190</v>
      </c>
      <c r="BE173" s="202">
        <v>201</v>
      </c>
      <c r="BF173" s="202">
        <v>213</v>
      </c>
      <c r="BG173" s="202">
        <v>226</v>
      </c>
      <c r="BH173" s="202">
        <v>238</v>
      </c>
      <c r="BI173" s="202">
        <v>250</v>
      </c>
      <c r="BJ173" s="202">
        <v>262</v>
      </c>
      <c r="BK173" s="202">
        <v>275</v>
      </c>
    </row>
    <row r="174" spans="37:63" ht="15" hidden="1">
      <c r="AK174" s="196" t="s">
        <v>131</v>
      </c>
      <c r="AL174" s="197">
        <v>329</v>
      </c>
      <c r="AM174" s="197">
        <v>344</v>
      </c>
      <c r="AN174" s="197">
        <v>359</v>
      </c>
      <c r="AO174" s="197">
        <v>375</v>
      </c>
      <c r="AP174" s="197">
        <v>390</v>
      </c>
      <c r="AQ174" s="197">
        <v>405</v>
      </c>
      <c r="AR174" s="197">
        <v>421</v>
      </c>
      <c r="AS174" s="197">
        <v>437</v>
      </c>
      <c r="AT174" s="197">
        <v>453</v>
      </c>
      <c r="AU174" s="197">
        <v>469</v>
      </c>
      <c r="AV174" s="197">
        <v>485</v>
      </c>
      <c r="AW174" s="197">
        <v>502</v>
      </c>
      <c r="AY174" s="196" t="s">
        <v>139</v>
      </c>
      <c r="AZ174" s="202">
        <v>287</v>
      </c>
      <c r="BA174" s="202">
        <v>300</v>
      </c>
      <c r="BB174" s="202">
        <v>312</v>
      </c>
      <c r="BC174" s="202">
        <v>325</v>
      </c>
      <c r="BD174" s="202">
        <v>337</v>
      </c>
      <c r="BE174" s="202">
        <v>350</v>
      </c>
      <c r="BF174" s="202">
        <v>363</v>
      </c>
      <c r="BG174" s="202">
        <v>376</v>
      </c>
      <c r="BH174" s="202">
        <v>389</v>
      </c>
      <c r="BI174" s="202">
        <v>402</v>
      </c>
      <c r="BJ174" s="202">
        <v>415</v>
      </c>
      <c r="BK174" s="202">
        <v>428</v>
      </c>
    </row>
    <row r="175" spans="37:63" ht="15" hidden="1">
      <c r="AK175" s="196" t="s">
        <v>132</v>
      </c>
      <c r="AL175" s="197">
        <v>519</v>
      </c>
      <c r="AM175" s="197">
        <v>535</v>
      </c>
      <c r="AN175" s="197">
        <v>552</v>
      </c>
      <c r="AO175" s="197">
        <v>570</v>
      </c>
      <c r="AP175" s="197">
        <v>587</v>
      </c>
      <c r="AQ175" s="197">
        <v>604</v>
      </c>
      <c r="AR175" s="197">
        <v>622</v>
      </c>
      <c r="AS175" s="197">
        <v>640</v>
      </c>
      <c r="AT175" s="197">
        <v>658</v>
      </c>
      <c r="AU175" s="197">
        <v>676</v>
      </c>
      <c r="AV175" s="197">
        <v>694</v>
      </c>
      <c r="AW175" s="197">
        <v>713</v>
      </c>
      <c r="AY175" s="196" t="s">
        <v>140</v>
      </c>
      <c r="AZ175" s="202">
        <v>442</v>
      </c>
      <c r="BA175" s="202">
        <v>455</v>
      </c>
      <c r="BB175" s="202">
        <v>469</v>
      </c>
      <c r="BC175" s="202">
        <v>482</v>
      </c>
      <c r="BD175" s="202">
        <v>496</v>
      </c>
      <c r="BE175" s="202">
        <v>510</v>
      </c>
      <c r="BF175" s="202">
        <v>524</v>
      </c>
      <c r="BG175" s="202">
        <v>538</v>
      </c>
      <c r="BH175" s="202">
        <v>552</v>
      </c>
      <c r="BI175" s="202">
        <v>566</v>
      </c>
      <c r="BJ175" s="202">
        <v>580</v>
      </c>
      <c r="BK175" s="202">
        <v>594</v>
      </c>
    </row>
    <row r="176" spans="37:63" ht="15" hidden="1">
      <c r="AK176" s="196" t="s">
        <v>133</v>
      </c>
      <c r="AL176" s="197">
        <v>732</v>
      </c>
      <c r="AM176" s="197">
        <v>751</v>
      </c>
      <c r="AN176" s="197">
        <v>770</v>
      </c>
      <c r="AO176" s="197">
        <v>789</v>
      </c>
      <c r="AP176" s="197">
        <v>808</v>
      </c>
      <c r="AQ176" s="197">
        <v>828</v>
      </c>
      <c r="AR176" s="197">
        <v>848</v>
      </c>
      <c r="AS176" s="197">
        <v>868</v>
      </c>
      <c r="AT176" s="197">
        <v>888</v>
      </c>
      <c r="AU176" s="197">
        <v>909</v>
      </c>
      <c r="AV176" s="197">
        <v>930</v>
      </c>
      <c r="AW176" s="197">
        <v>950</v>
      </c>
      <c r="AY176" s="196" t="s">
        <v>141</v>
      </c>
      <c r="AZ176" s="202">
        <v>609</v>
      </c>
      <c r="BA176" s="202">
        <v>623</v>
      </c>
      <c r="BB176" s="202">
        <v>638</v>
      </c>
      <c r="BC176" s="202">
        <v>653</v>
      </c>
      <c r="BD176" s="202">
        <v>668</v>
      </c>
      <c r="BE176" s="202">
        <v>683</v>
      </c>
      <c r="BF176" s="202">
        <v>698</v>
      </c>
      <c r="BG176" s="202">
        <v>713</v>
      </c>
      <c r="BH176" s="202">
        <v>728</v>
      </c>
      <c r="BI176" s="202">
        <v>743</v>
      </c>
      <c r="BJ176" s="202">
        <v>759</v>
      </c>
      <c r="BK176" s="202">
        <v>774</v>
      </c>
    </row>
    <row r="177" spans="37:63" ht="15" hidden="1">
      <c r="AK177" s="196" t="s">
        <v>134</v>
      </c>
      <c r="AL177" s="197">
        <v>971</v>
      </c>
      <c r="AM177" s="197">
        <v>993</v>
      </c>
      <c r="AN177" s="197">
        <v>1014</v>
      </c>
      <c r="AO177" s="197">
        <v>1036</v>
      </c>
      <c r="AP177" s="197">
        <v>1058</v>
      </c>
      <c r="AQ177" s="197">
        <v>1078</v>
      </c>
      <c r="AR177" s="197">
        <v>1099</v>
      </c>
      <c r="AS177" s="197">
        <v>1119</v>
      </c>
      <c r="AT177" s="197">
        <v>1141</v>
      </c>
      <c r="AU177" s="197">
        <v>1162</v>
      </c>
      <c r="AV177" s="197">
        <v>1183</v>
      </c>
      <c r="AW177" s="197">
        <v>1204</v>
      </c>
      <c r="AY177" s="196" t="s">
        <v>142</v>
      </c>
      <c r="AZ177" s="202">
        <v>790</v>
      </c>
      <c r="BA177" s="202">
        <v>806</v>
      </c>
      <c r="BB177" s="202">
        <v>822</v>
      </c>
      <c r="BC177" s="202">
        <v>838</v>
      </c>
      <c r="BD177" s="202">
        <v>854</v>
      </c>
      <c r="BE177" s="202">
        <v>870</v>
      </c>
      <c r="BF177" s="202">
        <v>886</v>
      </c>
      <c r="BG177" s="202">
        <v>903</v>
      </c>
      <c r="BH177" s="202">
        <v>919</v>
      </c>
      <c r="BI177" s="202">
        <v>936</v>
      </c>
      <c r="BJ177" s="202">
        <v>952</v>
      </c>
      <c r="BK177" s="202">
        <v>969</v>
      </c>
    </row>
    <row r="178" spans="37:63" ht="15" hidden="1">
      <c r="AK178" s="196" t="s">
        <v>135</v>
      </c>
      <c r="AL178" s="197">
        <v>1226</v>
      </c>
      <c r="AM178" s="197">
        <v>1248</v>
      </c>
      <c r="AN178" s="197">
        <v>1270</v>
      </c>
      <c r="AO178" s="197">
        <v>1292</v>
      </c>
      <c r="AP178" s="197">
        <v>1314</v>
      </c>
      <c r="AQ178" s="197">
        <v>1334</v>
      </c>
      <c r="AR178" s="197">
        <v>1354</v>
      </c>
      <c r="AS178" s="197">
        <v>1374</v>
      </c>
      <c r="AT178" s="197">
        <v>1394</v>
      </c>
      <c r="AU178" s="197">
        <v>1414</v>
      </c>
      <c r="AV178" s="197">
        <v>1434</v>
      </c>
      <c r="AW178" s="197">
        <v>1455</v>
      </c>
      <c r="AY178" s="196" t="s">
        <v>143</v>
      </c>
      <c r="AZ178" s="202">
        <v>986</v>
      </c>
      <c r="BA178" s="202">
        <v>1003</v>
      </c>
      <c r="BB178" s="202">
        <v>1021</v>
      </c>
      <c r="BC178" s="202">
        <v>1038</v>
      </c>
      <c r="BD178" s="202">
        <v>1055</v>
      </c>
      <c r="BE178" s="202">
        <v>1073</v>
      </c>
      <c r="BF178" s="202">
        <v>1090</v>
      </c>
      <c r="BG178" s="202">
        <v>1108</v>
      </c>
      <c r="BH178" s="202">
        <v>1126</v>
      </c>
      <c r="BI178" s="202">
        <v>1144</v>
      </c>
      <c r="BJ178" s="202">
        <v>1162</v>
      </c>
      <c r="BK178" s="202">
        <v>1180</v>
      </c>
    </row>
    <row r="179" spans="37:63" ht="15" hidden="1">
      <c r="AK179" s="196" t="s">
        <v>136</v>
      </c>
      <c r="AL179" s="197">
        <v>1476</v>
      </c>
      <c r="AM179" s="197">
        <v>1496</v>
      </c>
      <c r="AN179" s="197">
        <v>1517</v>
      </c>
      <c r="AO179" s="197">
        <v>1539</v>
      </c>
      <c r="AP179" s="197">
        <v>1560</v>
      </c>
      <c r="AQ179" s="197">
        <v>1580</v>
      </c>
      <c r="AR179" s="197">
        <v>1601</v>
      </c>
      <c r="AS179" s="197">
        <v>1621</v>
      </c>
      <c r="AT179" s="197">
        <v>1642</v>
      </c>
      <c r="AU179" s="197">
        <v>1663</v>
      </c>
      <c r="AV179" s="197">
        <v>1684</v>
      </c>
      <c r="AW179" s="197">
        <v>1706</v>
      </c>
      <c r="AY179" s="196" t="s">
        <v>144</v>
      </c>
      <c r="AZ179" s="202">
        <v>1199</v>
      </c>
      <c r="BA179" s="202">
        <v>1217</v>
      </c>
      <c r="BB179" s="202">
        <v>1236</v>
      </c>
      <c r="BC179" s="202">
        <v>1255</v>
      </c>
      <c r="BD179" s="202">
        <v>1273</v>
      </c>
      <c r="BE179" s="202">
        <v>1292</v>
      </c>
      <c r="BF179" s="202">
        <v>1312</v>
      </c>
      <c r="BG179" s="202">
        <v>1331</v>
      </c>
      <c r="BH179" s="202">
        <v>1350</v>
      </c>
      <c r="BI179" s="202">
        <v>1370</v>
      </c>
      <c r="BJ179" s="202">
        <v>1389</v>
      </c>
      <c r="BK179" s="202">
        <v>1409</v>
      </c>
    </row>
    <row r="180" spans="37:63" ht="15" hidden="1">
      <c r="AK180" s="196" t="s">
        <v>137</v>
      </c>
      <c r="AL180" s="197">
        <v>1727</v>
      </c>
      <c r="AM180" s="197">
        <v>1749</v>
      </c>
      <c r="AN180" s="197">
        <v>1771</v>
      </c>
      <c r="AO180" s="197">
        <v>1793</v>
      </c>
      <c r="AP180" s="197">
        <v>1815</v>
      </c>
      <c r="AQ180" s="197">
        <v>1837</v>
      </c>
      <c r="AR180" s="197">
        <v>1860</v>
      </c>
      <c r="AS180" s="197">
        <v>1882</v>
      </c>
      <c r="AT180" s="197">
        <v>1905</v>
      </c>
      <c r="AU180" s="197">
        <v>1928</v>
      </c>
      <c r="AV180" s="197">
        <v>1951</v>
      </c>
      <c r="AW180" s="197">
        <v>1975</v>
      </c>
      <c r="AY180" s="196" t="s">
        <v>145</v>
      </c>
      <c r="AZ180" s="202">
        <v>1429</v>
      </c>
      <c r="BA180" s="202">
        <v>1449</v>
      </c>
      <c r="BB180" s="202">
        <v>1469</v>
      </c>
      <c r="BC180" s="202">
        <v>1489</v>
      </c>
      <c r="BD180" s="202">
        <v>1510</v>
      </c>
      <c r="BE180" s="202">
        <v>1530</v>
      </c>
      <c r="BF180" s="202">
        <v>1551</v>
      </c>
      <c r="BG180" s="202">
        <v>1572</v>
      </c>
      <c r="BH180" s="202">
        <v>1593</v>
      </c>
      <c r="BI180" s="202">
        <v>1614</v>
      </c>
      <c r="BJ180" s="202">
        <v>1635</v>
      </c>
      <c r="BK180" s="202">
        <v>1656</v>
      </c>
    </row>
    <row r="181" spans="37:63" ht="15" hidden="1">
      <c r="AK181" s="196" t="s">
        <v>138</v>
      </c>
      <c r="AL181" s="197">
        <v>1998</v>
      </c>
      <c r="AM181" s="197">
        <v>2021</v>
      </c>
      <c r="AN181" s="197">
        <v>2045</v>
      </c>
      <c r="AO181" s="197">
        <v>2069</v>
      </c>
      <c r="AP181" s="197">
        <v>2093</v>
      </c>
      <c r="AQ181" s="197">
        <v>2118</v>
      </c>
      <c r="AR181" s="197">
        <v>2143</v>
      </c>
      <c r="AS181" s="197">
        <v>2167</v>
      </c>
      <c r="AT181" s="197">
        <v>2192</v>
      </c>
      <c r="AU181" s="197">
        <v>2217</v>
      </c>
      <c r="AV181" s="197">
        <v>2242</v>
      </c>
      <c r="AW181" s="197">
        <v>2268</v>
      </c>
      <c r="AY181" s="196" t="s">
        <v>146</v>
      </c>
      <c r="AZ181" s="202">
        <v>1678</v>
      </c>
      <c r="BA181" s="202">
        <v>1700</v>
      </c>
      <c r="BB181" s="202">
        <v>1723</v>
      </c>
      <c r="BC181" s="202">
        <v>1746</v>
      </c>
      <c r="BD181" s="202">
        <v>1769</v>
      </c>
      <c r="BE181" s="202">
        <v>1792</v>
      </c>
      <c r="BF181" s="202">
        <v>1815</v>
      </c>
      <c r="BG181" s="202">
        <v>1839</v>
      </c>
      <c r="BH181" s="202">
        <v>1862</v>
      </c>
      <c r="BI181" s="202">
        <v>1886</v>
      </c>
      <c r="BJ181" s="202">
        <v>1910</v>
      </c>
      <c r="BK181" s="202">
        <v>1934</v>
      </c>
    </row>
    <row r="182" spans="37:63" ht="15" hidden="1">
      <c r="AK182" s="196" t="s">
        <v>139</v>
      </c>
      <c r="AL182" s="197">
        <v>2291</v>
      </c>
      <c r="AM182" s="197">
        <v>2314</v>
      </c>
      <c r="AN182" s="197">
        <v>2337</v>
      </c>
      <c r="AO182" s="197">
        <v>2360</v>
      </c>
      <c r="AP182" s="197">
        <v>2384</v>
      </c>
      <c r="AQ182" s="197">
        <v>2407</v>
      </c>
      <c r="AR182" s="197">
        <v>2431</v>
      </c>
      <c r="AS182" s="197">
        <v>2455</v>
      </c>
      <c r="AT182" s="197">
        <v>2479</v>
      </c>
      <c r="AU182" s="197">
        <v>2503</v>
      </c>
      <c r="AV182" s="197">
        <v>2528</v>
      </c>
      <c r="AW182" s="197">
        <v>2552</v>
      </c>
      <c r="AY182" s="196" t="s">
        <v>242</v>
      </c>
      <c r="AZ182" s="202">
        <v>1959</v>
      </c>
      <c r="BA182" s="202">
        <v>1983</v>
      </c>
      <c r="BB182" s="202">
        <v>2008</v>
      </c>
      <c r="BC182" s="202">
        <v>2033</v>
      </c>
      <c r="BD182" s="202">
        <v>2058</v>
      </c>
      <c r="BE182" s="203">
        <v>2083</v>
      </c>
      <c r="BF182" s="203">
        <v>2109</v>
      </c>
      <c r="BG182" s="203">
        <v>2134</v>
      </c>
      <c r="BH182" s="203">
        <v>2160</v>
      </c>
      <c r="BI182" s="203">
        <v>2186</v>
      </c>
      <c r="BJ182" s="203">
        <v>2212</v>
      </c>
      <c r="BK182" s="203">
        <v>2239</v>
      </c>
    </row>
    <row r="183" spans="37:63" ht="15" hidden="1">
      <c r="AK183" s="196" t="s">
        <v>140</v>
      </c>
      <c r="AL183" s="197">
        <v>2577</v>
      </c>
      <c r="AM183" s="197">
        <v>2602</v>
      </c>
      <c r="AN183" s="197">
        <v>2627</v>
      </c>
      <c r="AO183" s="197">
        <v>2652</v>
      </c>
      <c r="AP183" s="197">
        <v>2677</v>
      </c>
      <c r="AQ183" s="197">
        <v>2703</v>
      </c>
      <c r="AR183" s="197">
        <v>2729</v>
      </c>
      <c r="AS183" s="197">
        <v>2755</v>
      </c>
      <c r="AT183" s="197">
        <v>2781</v>
      </c>
      <c r="AU183" s="197">
        <v>2807</v>
      </c>
      <c r="AV183" s="197">
        <v>2833</v>
      </c>
      <c r="AW183" s="197">
        <v>2860</v>
      </c>
      <c r="AY183" s="195" t="s">
        <v>314</v>
      </c>
      <c r="AZ183" s="203">
        <v>2266</v>
      </c>
      <c r="BA183" s="203">
        <v>2292</v>
      </c>
      <c r="BB183" s="203">
        <v>2319</v>
      </c>
      <c r="BC183" s="203">
        <v>2347</v>
      </c>
      <c r="BD183" s="203">
        <v>2374</v>
      </c>
      <c r="BE183"/>
      <c r="BF183"/>
      <c r="BG183"/>
      <c r="BH183"/>
      <c r="BI183"/>
      <c r="BJ183"/>
      <c r="BK183"/>
    </row>
    <row r="184" spans="37:49" ht="15" hidden="1">
      <c r="AK184" s="196" t="s">
        <v>141</v>
      </c>
      <c r="AL184" s="197">
        <v>2887</v>
      </c>
      <c r="AM184" s="197">
        <v>2913</v>
      </c>
      <c r="AN184" s="197">
        <v>2941</v>
      </c>
      <c r="AO184" s="197">
        <v>2968</v>
      </c>
      <c r="AP184" s="197">
        <v>2995</v>
      </c>
      <c r="AQ184" s="197">
        <v>3023</v>
      </c>
      <c r="AR184" s="197">
        <v>3051</v>
      </c>
      <c r="AS184" s="197">
        <v>3079</v>
      </c>
      <c r="AT184" s="197">
        <v>3107</v>
      </c>
      <c r="AU184" s="197">
        <v>3135</v>
      </c>
      <c r="AV184" s="197">
        <v>3164</v>
      </c>
      <c r="AW184" s="197">
        <v>3193</v>
      </c>
    </row>
    <row r="185" spans="37:49" ht="15" hidden="1">
      <c r="AK185" s="196" t="s">
        <v>142</v>
      </c>
      <c r="AL185" s="197">
        <v>3222</v>
      </c>
      <c r="AM185" s="197">
        <v>3251</v>
      </c>
      <c r="AN185" s="197">
        <v>3281</v>
      </c>
      <c r="AO185" s="197">
        <v>3310</v>
      </c>
      <c r="AP185" s="197">
        <v>3339</v>
      </c>
      <c r="AQ185" s="197">
        <v>3370</v>
      </c>
      <c r="AR185" s="197">
        <v>3400</v>
      </c>
      <c r="AS185" s="197">
        <v>3430</v>
      </c>
      <c r="AT185" s="197">
        <v>3461</v>
      </c>
      <c r="AU185" s="197">
        <v>3491</v>
      </c>
      <c r="AV185" s="197">
        <v>3522</v>
      </c>
      <c r="AW185" s="197">
        <v>3553</v>
      </c>
    </row>
    <row r="186" spans="37:49" ht="15" hidden="1">
      <c r="AK186" s="196" t="s">
        <v>143</v>
      </c>
      <c r="AL186" s="197">
        <v>3584</v>
      </c>
      <c r="AM186" s="197">
        <v>3616</v>
      </c>
      <c r="AN186" s="197">
        <v>3648</v>
      </c>
      <c r="AO186" s="197">
        <v>3680</v>
      </c>
      <c r="AP186" s="197">
        <v>3712</v>
      </c>
      <c r="AQ186" s="197">
        <v>3745</v>
      </c>
      <c r="AR186" s="197">
        <v>3777</v>
      </c>
      <c r="AS186" s="197">
        <v>3810</v>
      </c>
      <c r="AT186" s="197">
        <v>3843</v>
      </c>
      <c r="AU186" s="197">
        <v>3876</v>
      </c>
      <c r="AV186" s="197">
        <v>3909</v>
      </c>
      <c r="AW186" s="197">
        <v>3944</v>
      </c>
    </row>
    <row r="187" spans="37:49" ht="15" hidden="1">
      <c r="AK187" s="196" t="s">
        <v>144</v>
      </c>
      <c r="AL187" s="197">
        <v>3977</v>
      </c>
      <c r="AM187" s="197">
        <v>4011</v>
      </c>
      <c r="AN187" s="197">
        <v>4046</v>
      </c>
      <c r="AO187" s="197">
        <v>4080</v>
      </c>
      <c r="AP187" s="197">
        <v>4115</v>
      </c>
      <c r="AQ187" s="197">
        <v>4151</v>
      </c>
      <c r="AR187" s="197">
        <v>4185</v>
      </c>
      <c r="AS187" s="197">
        <v>4221</v>
      </c>
      <c r="AT187" s="197">
        <v>4257</v>
      </c>
      <c r="AU187" s="197">
        <v>4293</v>
      </c>
      <c r="AV187" s="197">
        <v>4329</v>
      </c>
      <c r="AW187" s="197">
        <v>4366</v>
      </c>
    </row>
    <row r="188" spans="37:49" ht="15" hidden="1">
      <c r="AK188" s="196" t="s">
        <v>145</v>
      </c>
      <c r="AL188" s="197">
        <v>4402</v>
      </c>
      <c r="AM188" s="197">
        <v>4439</v>
      </c>
      <c r="AN188" s="197">
        <v>4477</v>
      </c>
      <c r="AO188" s="197">
        <v>4514</v>
      </c>
      <c r="AP188" s="197">
        <v>4551</v>
      </c>
      <c r="AQ188" s="197">
        <v>4590</v>
      </c>
      <c r="AR188" s="197">
        <v>4628</v>
      </c>
      <c r="AS188" s="197">
        <v>4666</v>
      </c>
      <c r="AT188" s="197">
        <v>4705</v>
      </c>
      <c r="AU188" s="197">
        <v>4744</v>
      </c>
      <c r="AV188" s="197">
        <v>4783</v>
      </c>
      <c r="AW188" s="197">
        <v>4823</v>
      </c>
    </row>
    <row r="189" spans="37:49" ht="15" hidden="1">
      <c r="AK189" s="196" t="s">
        <v>146</v>
      </c>
      <c r="AL189" s="197">
        <v>4862</v>
      </c>
      <c r="AM189" s="197">
        <v>4905</v>
      </c>
      <c r="AN189" s="197">
        <v>4949</v>
      </c>
      <c r="AO189" s="197">
        <v>4992</v>
      </c>
      <c r="AP189" s="197">
        <v>5036</v>
      </c>
      <c r="AQ189" s="197">
        <v>5081</v>
      </c>
      <c r="AR189" s="197">
        <v>5125</v>
      </c>
      <c r="AS189" s="197">
        <v>5170</v>
      </c>
      <c r="AT189" s="197">
        <v>5215</v>
      </c>
      <c r="AU189" s="197">
        <v>5260</v>
      </c>
      <c r="AV189" s="197">
        <v>5306</v>
      </c>
      <c r="AW189" s="197">
        <v>5353</v>
      </c>
    </row>
    <row r="190" spans="37:49" ht="15" hidden="1">
      <c r="AK190" s="196" t="s">
        <v>242</v>
      </c>
      <c r="AL190" s="197">
        <v>5399</v>
      </c>
      <c r="AM190" s="197">
        <v>5446</v>
      </c>
      <c r="AN190" s="197">
        <v>5493</v>
      </c>
      <c r="AO190" s="197">
        <v>5540</v>
      </c>
      <c r="AP190" s="197">
        <v>5588</v>
      </c>
      <c r="AQ190" s="197">
        <v>5637</v>
      </c>
      <c r="AR190" s="199">
        <v>5686</v>
      </c>
      <c r="AS190" s="199">
        <v>5735</v>
      </c>
      <c r="AT190" s="199">
        <v>5785</v>
      </c>
      <c r="AU190" s="199">
        <v>5835</v>
      </c>
      <c r="AV190" s="199">
        <v>5885</v>
      </c>
      <c r="AW190" s="199">
        <v>5936</v>
      </c>
    </row>
    <row r="191" spans="37:49" ht="15" hidden="1">
      <c r="AK191" s="195" t="s">
        <v>314</v>
      </c>
      <c r="AL191" s="199">
        <v>5988</v>
      </c>
      <c r="AM191" s="199">
        <v>6039</v>
      </c>
      <c r="AN191" s="199">
        <v>6091</v>
      </c>
      <c r="AO191" s="199">
        <v>6143</v>
      </c>
      <c r="AP191" s="199">
        <v>6196</v>
      </c>
      <c r="AQ191"/>
      <c r="AR191"/>
      <c r="AS191"/>
      <c r="AT191"/>
      <c r="AU191"/>
      <c r="AV191"/>
      <c r="AW191"/>
    </row>
    <row r="192" spans="37:63" ht="15" hidden="1">
      <c r="AK192" s="200" t="s">
        <v>316</v>
      </c>
      <c r="AL192" s="196" t="s">
        <v>116</v>
      </c>
      <c r="AM192" s="196" t="s">
        <v>117</v>
      </c>
      <c r="AN192" s="196" t="s">
        <v>118</v>
      </c>
      <c r="AO192" s="196" t="s">
        <v>124</v>
      </c>
      <c r="AP192" s="196" t="s">
        <v>125</v>
      </c>
      <c r="AQ192" s="196" t="s">
        <v>126</v>
      </c>
      <c r="AR192" s="196" t="s">
        <v>119</v>
      </c>
      <c r="AS192" s="196" t="s">
        <v>149</v>
      </c>
      <c r="AT192" s="196" t="s">
        <v>121</v>
      </c>
      <c r="AU192" s="196" t="s">
        <v>122</v>
      </c>
      <c r="AV192" s="196" t="s">
        <v>241</v>
      </c>
      <c r="AW192" s="196" t="s">
        <v>128</v>
      </c>
      <c r="AY192" s="201" t="s">
        <v>123</v>
      </c>
      <c r="AZ192" s="201" t="s">
        <v>116</v>
      </c>
      <c r="BA192" s="201" t="s">
        <v>117</v>
      </c>
      <c r="BB192" s="201" t="s">
        <v>118</v>
      </c>
      <c r="BC192" s="201" t="s">
        <v>124</v>
      </c>
      <c r="BD192" s="201" t="s">
        <v>125</v>
      </c>
      <c r="BE192" s="201" t="s">
        <v>126</v>
      </c>
      <c r="BF192" s="201" t="s">
        <v>119</v>
      </c>
      <c r="BG192" s="201" t="s">
        <v>120</v>
      </c>
      <c r="BH192" s="201" t="s">
        <v>121</v>
      </c>
      <c r="BI192" s="201" t="s">
        <v>122</v>
      </c>
      <c r="BJ192" s="201" t="s">
        <v>127</v>
      </c>
      <c r="BK192" s="201" t="s">
        <v>128</v>
      </c>
    </row>
    <row r="193" spans="37:63" ht="15" hidden="1">
      <c r="AK193" s="196" t="s">
        <v>129</v>
      </c>
      <c r="AL193" s="197">
        <v>14</v>
      </c>
      <c r="AM193" s="197">
        <v>28</v>
      </c>
      <c r="AN193" s="197">
        <v>42</v>
      </c>
      <c r="AO193" s="197">
        <v>56</v>
      </c>
      <c r="AP193" s="197">
        <v>70</v>
      </c>
      <c r="AQ193" s="197">
        <v>85</v>
      </c>
      <c r="AR193" s="197">
        <v>99</v>
      </c>
      <c r="AS193" s="197">
        <v>114</v>
      </c>
      <c r="AT193" s="197">
        <v>129</v>
      </c>
      <c r="AU193" s="197">
        <v>144</v>
      </c>
      <c r="AV193" s="197">
        <v>159</v>
      </c>
      <c r="AW193" s="197">
        <v>174</v>
      </c>
      <c r="AY193" s="196" t="s">
        <v>138</v>
      </c>
      <c r="AZ193" s="202">
        <v>11</v>
      </c>
      <c r="BA193" s="202">
        <v>21</v>
      </c>
      <c r="BB193" s="202">
        <v>32</v>
      </c>
      <c r="BC193" s="202">
        <v>42</v>
      </c>
      <c r="BD193" s="202">
        <v>53</v>
      </c>
      <c r="BE193" s="202">
        <v>64</v>
      </c>
      <c r="BF193" s="202">
        <v>75</v>
      </c>
      <c r="BG193" s="202">
        <v>86</v>
      </c>
      <c r="BH193" s="202">
        <v>97</v>
      </c>
      <c r="BI193" s="202">
        <v>109</v>
      </c>
      <c r="BJ193" s="202">
        <v>120</v>
      </c>
      <c r="BK193" s="202">
        <v>131</v>
      </c>
    </row>
    <row r="194" spans="37:63" ht="15" hidden="1">
      <c r="AK194" s="196" t="s">
        <v>130</v>
      </c>
      <c r="AL194" s="197">
        <v>190</v>
      </c>
      <c r="AM194" s="197">
        <v>205</v>
      </c>
      <c r="AN194" s="197">
        <v>221</v>
      </c>
      <c r="AO194" s="197">
        <v>237</v>
      </c>
      <c r="AP194" s="197">
        <v>253</v>
      </c>
      <c r="AQ194" s="197">
        <v>269</v>
      </c>
      <c r="AR194" s="197">
        <v>286</v>
      </c>
      <c r="AS194" s="197">
        <v>302</v>
      </c>
      <c r="AT194" s="197">
        <v>319</v>
      </c>
      <c r="AU194" s="197">
        <v>336</v>
      </c>
      <c r="AV194" s="197">
        <v>353</v>
      </c>
      <c r="AW194" s="197">
        <v>370</v>
      </c>
      <c r="AY194" s="196" t="s">
        <v>139</v>
      </c>
      <c r="AZ194" s="202">
        <v>143</v>
      </c>
      <c r="BA194" s="202">
        <v>154</v>
      </c>
      <c r="BB194" s="202">
        <v>166</v>
      </c>
      <c r="BC194" s="202">
        <v>177</v>
      </c>
      <c r="BD194" s="202">
        <v>189</v>
      </c>
      <c r="BE194" s="202">
        <v>201</v>
      </c>
      <c r="BF194" s="202">
        <v>213</v>
      </c>
      <c r="BG194" s="202">
        <v>224</v>
      </c>
      <c r="BH194" s="202">
        <v>236</v>
      </c>
      <c r="BI194" s="202">
        <v>249</v>
      </c>
      <c r="BJ194" s="202">
        <v>261</v>
      </c>
      <c r="BK194" s="202">
        <v>273</v>
      </c>
    </row>
    <row r="195" spans="37:63" ht="15" hidden="1">
      <c r="AK195" s="196" t="s">
        <v>131</v>
      </c>
      <c r="AL195" s="197">
        <v>388</v>
      </c>
      <c r="AM195" s="197">
        <v>405</v>
      </c>
      <c r="AN195" s="197">
        <v>423</v>
      </c>
      <c r="AO195" s="197">
        <v>441</v>
      </c>
      <c r="AP195" s="197">
        <v>459</v>
      </c>
      <c r="AQ195" s="197">
        <v>477</v>
      </c>
      <c r="AR195" s="197">
        <v>496</v>
      </c>
      <c r="AS195" s="197">
        <v>514</v>
      </c>
      <c r="AT195" s="197">
        <v>533</v>
      </c>
      <c r="AU195" s="197">
        <v>552</v>
      </c>
      <c r="AV195" s="197">
        <v>572</v>
      </c>
      <c r="AW195" s="197">
        <v>591</v>
      </c>
      <c r="AY195" s="196" t="s">
        <v>140</v>
      </c>
      <c r="AZ195" s="202">
        <v>285</v>
      </c>
      <c r="BA195" s="202">
        <v>298</v>
      </c>
      <c r="BB195" s="202">
        <v>310</v>
      </c>
      <c r="BC195" s="202">
        <v>323</v>
      </c>
      <c r="BD195" s="202">
        <v>335</v>
      </c>
      <c r="BE195" s="202">
        <v>348</v>
      </c>
      <c r="BF195" s="202">
        <v>361</v>
      </c>
      <c r="BG195" s="202">
        <v>374</v>
      </c>
      <c r="BH195" s="202">
        <v>387</v>
      </c>
      <c r="BI195" s="202">
        <v>400</v>
      </c>
      <c r="BJ195" s="202">
        <v>413</v>
      </c>
      <c r="BK195" s="202">
        <v>426</v>
      </c>
    </row>
    <row r="196" spans="37:63" ht="15" hidden="1">
      <c r="AK196" s="196" t="s">
        <v>132</v>
      </c>
      <c r="AL196" s="197">
        <v>611</v>
      </c>
      <c r="AM196" s="197">
        <v>630</v>
      </c>
      <c r="AN196" s="197">
        <v>650</v>
      </c>
      <c r="AO196" s="197">
        <v>671</v>
      </c>
      <c r="AP196" s="197">
        <v>691</v>
      </c>
      <c r="AQ196" s="197">
        <v>711</v>
      </c>
      <c r="AR196" s="197">
        <v>732</v>
      </c>
      <c r="AS196" s="197">
        <v>753</v>
      </c>
      <c r="AT196" s="197">
        <v>774</v>
      </c>
      <c r="AU196" s="197">
        <v>796</v>
      </c>
      <c r="AV196" s="197">
        <v>817</v>
      </c>
      <c r="AW196" s="197">
        <v>839</v>
      </c>
      <c r="AY196" s="196" t="s">
        <v>141</v>
      </c>
      <c r="AZ196" s="202">
        <v>440</v>
      </c>
      <c r="BA196" s="202">
        <v>453</v>
      </c>
      <c r="BB196" s="202">
        <v>466</v>
      </c>
      <c r="BC196" s="202">
        <v>480</v>
      </c>
      <c r="BD196" s="202">
        <v>494</v>
      </c>
      <c r="BE196" s="202">
        <v>508</v>
      </c>
      <c r="BF196" s="202">
        <v>522</v>
      </c>
      <c r="BG196" s="202">
        <v>535</v>
      </c>
      <c r="BH196" s="202">
        <v>550</v>
      </c>
      <c r="BI196" s="202">
        <v>564</v>
      </c>
      <c r="BJ196" s="202">
        <v>578</v>
      </c>
      <c r="BK196" s="202">
        <v>592</v>
      </c>
    </row>
    <row r="197" spans="37:63" ht="15" hidden="1">
      <c r="AK197" s="196" t="s">
        <v>133</v>
      </c>
      <c r="AL197" s="197">
        <v>861</v>
      </c>
      <c r="AM197" s="197">
        <v>884</v>
      </c>
      <c r="AN197" s="197">
        <v>906</v>
      </c>
      <c r="AO197" s="197">
        <v>929</v>
      </c>
      <c r="AP197" s="197">
        <v>952</v>
      </c>
      <c r="AQ197" s="197">
        <v>975</v>
      </c>
      <c r="AR197" s="197">
        <v>998</v>
      </c>
      <c r="AS197" s="197">
        <v>1022</v>
      </c>
      <c r="AT197" s="197">
        <v>1046</v>
      </c>
      <c r="AU197" s="197">
        <v>1070</v>
      </c>
      <c r="AV197" s="197">
        <v>1094</v>
      </c>
      <c r="AW197" s="197">
        <v>1119</v>
      </c>
      <c r="AY197" s="196" t="s">
        <v>142</v>
      </c>
      <c r="AZ197" s="202">
        <v>607</v>
      </c>
      <c r="BA197" s="202">
        <v>621</v>
      </c>
      <c r="BB197" s="202">
        <v>636</v>
      </c>
      <c r="BC197" s="202">
        <v>651</v>
      </c>
      <c r="BD197" s="202">
        <v>665</v>
      </c>
      <c r="BE197" s="202">
        <v>680</v>
      </c>
      <c r="BF197" s="202">
        <v>695</v>
      </c>
      <c r="BG197" s="202">
        <v>711</v>
      </c>
      <c r="BH197" s="202">
        <v>726</v>
      </c>
      <c r="BI197" s="202">
        <v>741</v>
      </c>
      <c r="BJ197" s="202">
        <v>757</v>
      </c>
      <c r="BK197" s="202">
        <v>772</v>
      </c>
    </row>
    <row r="198" spans="37:63" ht="15" hidden="1">
      <c r="AK198" s="196" t="s">
        <v>134</v>
      </c>
      <c r="AL198" s="197">
        <v>1144</v>
      </c>
      <c r="AM198" s="197">
        <v>1169</v>
      </c>
      <c r="AN198" s="197">
        <v>1194</v>
      </c>
      <c r="AO198" s="197">
        <v>1220</v>
      </c>
      <c r="AP198" s="197">
        <v>1245</v>
      </c>
      <c r="AQ198" s="197">
        <v>1269</v>
      </c>
      <c r="AR198" s="197">
        <v>1293</v>
      </c>
      <c r="AS198" s="197">
        <v>1317</v>
      </c>
      <c r="AT198" s="197">
        <v>1342</v>
      </c>
      <c r="AU198" s="197">
        <v>1367</v>
      </c>
      <c r="AV198" s="197">
        <v>1392</v>
      </c>
      <c r="AW198" s="197">
        <v>1417</v>
      </c>
      <c r="AY198" s="196" t="s">
        <v>143</v>
      </c>
      <c r="AZ198" s="202">
        <v>788</v>
      </c>
      <c r="BA198" s="202">
        <v>803</v>
      </c>
      <c r="BB198" s="202">
        <v>819</v>
      </c>
      <c r="BC198" s="202">
        <v>835</v>
      </c>
      <c r="BD198" s="202">
        <v>851</v>
      </c>
      <c r="BE198" s="202">
        <v>868</v>
      </c>
      <c r="BF198" s="202">
        <v>884</v>
      </c>
      <c r="BG198" s="202">
        <v>900</v>
      </c>
      <c r="BH198" s="202">
        <v>917</v>
      </c>
      <c r="BI198" s="202">
        <v>933</v>
      </c>
      <c r="BJ198" s="202">
        <v>950</v>
      </c>
      <c r="BK198" s="202">
        <v>967</v>
      </c>
    </row>
    <row r="199" spans="37:63" ht="15" hidden="1">
      <c r="AK199" s="196" t="s">
        <v>135</v>
      </c>
      <c r="AL199" s="197">
        <v>1443</v>
      </c>
      <c r="AM199" s="197">
        <v>1468</v>
      </c>
      <c r="AN199" s="197">
        <v>1494</v>
      </c>
      <c r="AO199" s="197">
        <v>1521</v>
      </c>
      <c r="AP199" s="197">
        <v>1547</v>
      </c>
      <c r="AQ199" s="197">
        <v>1570</v>
      </c>
      <c r="AR199" s="197">
        <v>1593</v>
      </c>
      <c r="AS199" s="197">
        <v>1616</v>
      </c>
      <c r="AT199" s="197">
        <v>1640</v>
      </c>
      <c r="AU199" s="197">
        <v>1664</v>
      </c>
      <c r="AV199" s="197">
        <v>1688</v>
      </c>
      <c r="AW199" s="197">
        <v>1712</v>
      </c>
      <c r="AY199" s="196" t="s">
        <v>144</v>
      </c>
      <c r="AZ199" s="202">
        <v>984</v>
      </c>
      <c r="BA199" s="202">
        <v>1001</v>
      </c>
      <c r="BB199" s="202">
        <v>1018</v>
      </c>
      <c r="BC199" s="202">
        <v>1035</v>
      </c>
      <c r="BD199" s="202">
        <v>1053</v>
      </c>
      <c r="BE199" s="202">
        <v>1070</v>
      </c>
      <c r="BF199" s="202">
        <v>1088</v>
      </c>
      <c r="BG199" s="202">
        <v>1105</v>
      </c>
      <c r="BH199" s="202">
        <v>1123</v>
      </c>
      <c r="BI199" s="202">
        <v>1141</v>
      </c>
      <c r="BJ199" s="202">
        <v>1159</v>
      </c>
      <c r="BK199" s="202">
        <v>1178</v>
      </c>
    </row>
    <row r="200" spans="37:63" ht="15" hidden="1">
      <c r="AK200" s="196" t="s">
        <v>136</v>
      </c>
      <c r="AL200" s="197">
        <v>1737</v>
      </c>
      <c r="AM200" s="197">
        <v>1761</v>
      </c>
      <c r="AN200" s="197">
        <v>1786</v>
      </c>
      <c r="AO200" s="197">
        <v>1811</v>
      </c>
      <c r="AP200" s="197">
        <v>1836</v>
      </c>
      <c r="AQ200" s="197">
        <v>1860</v>
      </c>
      <c r="AR200" s="197">
        <v>1884</v>
      </c>
      <c r="AS200" s="197">
        <v>1908</v>
      </c>
      <c r="AT200" s="197">
        <v>1933</v>
      </c>
      <c r="AU200" s="197">
        <v>1958</v>
      </c>
      <c r="AV200" s="197">
        <v>1982</v>
      </c>
      <c r="AW200" s="197">
        <v>2008</v>
      </c>
      <c r="AY200" s="196" t="s">
        <v>145</v>
      </c>
      <c r="AZ200" s="202">
        <v>1196</v>
      </c>
      <c r="BA200" s="202">
        <v>1214</v>
      </c>
      <c r="BB200" s="202">
        <v>1233</v>
      </c>
      <c r="BC200" s="202">
        <v>1252</v>
      </c>
      <c r="BD200" s="202">
        <v>1271</v>
      </c>
      <c r="BE200" s="202">
        <v>1290</v>
      </c>
      <c r="BF200" s="202">
        <v>1309</v>
      </c>
      <c r="BG200" s="202">
        <v>1328</v>
      </c>
      <c r="BH200" s="202">
        <v>1347</v>
      </c>
      <c r="BI200" s="202">
        <v>1367</v>
      </c>
      <c r="BJ200" s="202">
        <v>1386</v>
      </c>
      <c r="BK200" s="202">
        <v>1406</v>
      </c>
    </row>
    <row r="201" spans="37:63" ht="15" hidden="1">
      <c r="AK201" s="196" t="s">
        <v>137</v>
      </c>
      <c r="AL201" s="197">
        <v>2033</v>
      </c>
      <c r="AM201" s="197">
        <v>2058</v>
      </c>
      <c r="AN201" s="197">
        <v>2084</v>
      </c>
      <c r="AO201" s="197">
        <v>2110</v>
      </c>
      <c r="AP201" s="197">
        <v>2136</v>
      </c>
      <c r="AQ201" s="197">
        <v>2162</v>
      </c>
      <c r="AR201" s="197">
        <v>2189</v>
      </c>
      <c r="AS201" s="197">
        <v>2215</v>
      </c>
      <c r="AT201" s="197">
        <v>2242</v>
      </c>
      <c r="AU201" s="197">
        <v>2269</v>
      </c>
      <c r="AV201" s="197">
        <v>2296</v>
      </c>
      <c r="AW201" s="197">
        <v>2324</v>
      </c>
      <c r="AY201" s="196" t="s">
        <v>146</v>
      </c>
      <c r="AZ201" s="202">
        <v>1426</v>
      </c>
      <c r="BA201" s="202">
        <v>1446</v>
      </c>
      <c r="BB201" s="202">
        <v>1467</v>
      </c>
      <c r="BC201" s="202">
        <v>1488</v>
      </c>
      <c r="BD201" s="202">
        <v>1509</v>
      </c>
      <c r="BE201" s="202">
        <v>1531</v>
      </c>
      <c r="BF201" s="202">
        <v>1552</v>
      </c>
      <c r="BG201" s="202">
        <v>1574</v>
      </c>
      <c r="BH201" s="202">
        <v>1596</v>
      </c>
      <c r="BI201" s="202">
        <v>1617</v>
      </c>
      <c r="BJ201" s="202">
        <v>1639</v>
      </c>
      <c r="BK201" s="202">
        <v>1662</v>
      </c>
    </row>
    <row r="202" spans="37:63" ht="15" hidden="1">
      <c r="AK202" s="196" t="s">
        <v>138</v>
      </c>
      <c r="AL202" s="197">
        <v>2351</v>
      </c>
      <c r="AM202" s="197">
        <v>2379</v>
      </c>
      <c r="AN202" s="197">
        <v>2407</v>
      </c>
      <c r="AO202" s="197">
        <v>2436</v>
      </c>
      <c r="AP202" s="197">
        <v>2464</v>
      </c>
      <c r="AQ202" s="197">
        <v>2493</v>
      </c>
      <c r="AR202" s="197">
        <v>2522</v>
      </c>
      <c r="AS202" s="197">
        <v>2550</v>
      </c>
      <c r="AT202" s="197">
        <v>2580</v>
      </c>
      <c r="AU202" s="197">
        <v>2610</v>
      </c>
      <c r="AV202" s="197">
        <v>2639</v>
      </c>
      <c r="AW202" s="197">
        <v>2669</v>
      </c>
      <c r="AY202" s="196" t="s">
        <v>242</v>
      </c>
      <c r="AZ202" s="202">
        <v>1684</v>
      </c>
      <c r="BA202" s="202">
        <v>1707</v>
      </c>
      <c r="BB202" s="202">
        <v>1729</v>
      </c>
      <c r="BC202" s="202">
        <v>1752</v>
      </c>
      <c r="BD202" s="202">
        <v>1775</v>
      </c>
      <c r="BE202" s="203">
        <v>1799</v>
      </c>
      <c r="BF202" s="203">
        <v>1822</v>
      </c>
      <c r="BG202" s="203">
        <v>1846</v>
      </c>
      <c r="BH202" s="203">
        <v>1869</v>
      </c>
      <c r="BI202" s="203">
        <v>1893</v>
      </c>
      <c r="BJ202" s="203">
        <v>1917</v>
      </c>
      <c r="BK202" s="203">
        <v>1942</v>
      </c>
    </row>
    <row r="203" spans="37:63" ht="15" hidden="1">
      <c r="AK203" s="196" t="s">
        <v>139</v>
      </c>
      <c r="AL203" s="197">
        <v>2696</v>
      </c>
      <c r="AM203" s="197">
        <v>2723</v>
      </c>
      <c r="AN203" s="197">
        <v>2750</v>
      </c>
      <c r="AO203" s="197">
        <v>2778</v>
      </c>
      <c r="AP203" s="197">
        <v>2806</v>
      </c>
      <c r="AQ203" s="197">
        <v>2833</v>
      </c>
      <c r="AR203" s="197">
        <v>2861</v>
      </c>
      <c r="AS203" s="197">
        <v>2889</v>
      </c>
      <c r="AT203" s="197">
        <v>2918</v>
      </c>
      <c r="AU203" s="197">
        <v>2946</v>
      </c>
      <c r="AV203" s="197">
        <v>2975</v>
      </c>
      <c r="AW203" s="197">
        <v>3004</v>
      </c>
      <c r="AY203" s="195" t="s">
        <v>314</v>
      </c>
      <c r="AZ203" s="203">
        <v>1966</v>
      </c>
      <c r="BA203" s="203">
        <v>1991</v>
      </c>
      <c r="BB203" s="203">
        <v>2016</v>
      </c>
      <c r="BC203" s="203">
        <v>2041</v>
      </c>
      <c r="BD203" s="203">
        <v>2066</v>
      </c>
      <c r="BE203"/>
      <c r="BF203"/>
      <c r="BG203"/>
      <c r="BH203"/>
      <c r="BI203"/>
      <c r="BJ203"/>
      <c r="BK203"/>
    </row>
    <row r="204" spans="37:63" ht="15" hidden="1">
      <c r="AK204" s="196" t="s">
        <v>140</v>
      </c>
      <c r="AL204" s="197">
        <v>3033</v>
      </c>
      <c r="AM204" s="197">
        <v>3062</v>
      </c>
      <c r="AN204" s="197">
        <v>3092</v>
      </c>
      <c r="AO204" s="197">
        <v>3122</v>
      </c>
      <c r="AP204" s="197">
        <v>3151</v>
      </c>
      <c r="AQ204" s="197">
        <v>3182</v>
      </c>
      <c r="AR204" s="197">
        <v>3211</v>
      </c>
      <c r="AS204" s="197">
        <v>3242</v>
      </c>
      <c r="AT204" s="197">
        <v>3273</v>
      </c>
      <c r="AU204" s="197">
        <v>3303</v>
      </c>
      <c r="AV204" s="197">
        <v>3334</v>
      </c>
      <c r="AW204" s="197">
        <v>3366</v>
      </c>
      <c r="AY204" s="201" t="s">
        <v>123</v>
      </c>
      <c r="AZ204" s="201" t="s">
        <v>116</v>
      </c>
      <c r="BA204" s="201" t="s">
        <v>117</v>
      </c>
      <c r="BB204" s="201" t="s">
        <v>118</v>
      </c>
      <c r="BC204" s="201" t="s">
        <v>124</v>
      </c>
      <c r="BD204" s="201" t="s">
        <v>125</v>
      </c>
      <c r="BE204" s="201" t="s">
        <v>126</v>
      </c>
      <c r="BF204" s="201" t="s">
        <v>119</v>
      </c>
      <c r="BG204" s="201" t="s">
        <v>120</v>
      </c>
      <c r="BH204" s="201" t="s">
        <v>121</v>
      </c>
      <c r="BI204" s="201" t="s">
        <v>122</v>
      </c>
      <c r="BJ204" s="201" t="s">
        <v>127</v>
      </c>
      <c r="BK204" s="201" t="s">
        <v>128</v>
      </c>
    </row>
    <row r="205" spans="37:63" ht="15" hidden="1">
      <c r="AK205" s="196" t="s">
        <v>141</v>
      </c>
      <c r="AL205" s="197">
        <v>3397</v>
      </c>
      <c r="AM205" s="197">
        <v>3429</v>
      </c>
      <c r="AN205" s="197">
        <v>3461</v>
      </c>
      <c r="AO205" s="197">
        <v>3493</v>
      </c>
      <c r="AP205" s="197">
        <v>3525</v>
      </c>
      <c r="AQ205" s="197">
        <v>3558</v>
      </c>
      <c r="AR205" s="197">
        <v>3591</v>
      </c>
      <c r="AS205" s="197">
        <v>3624</v>
      </c>
      <c r="AT205" s="197">
        <v>3657</v>
      </c>
      <c r="AU205" s="197">
        <v>3690</v>
      </c>
      <c r="AV205" s="197">
        <v>3724</v>
      </c>
      <c r="AW205" s="197">
        <v>3758</v>
      </c>
      <c r="AY205" s="196" t="s">
        <v>139</v>
      </c>
      <c r="AZ205" s="202">
        <v>11</v>
      </c>
      <c r="BA205" s="202">
        <v>21</v>
      </c>
      <c r="BB205" s="202">
        <v>32</v>
      </c>
      <c r="BC205" s="202">
        <v>42</v>
      </c>
      <c r="BD205" s="202">
        <v>53</v>
      </c>
      <c r="BE205" s="202">
        <v>64</v>
      </c>
      <c r="BF205" s="202">
        <v>75</v>
      </c>
      <c r="BG205" s="202">
        <v>86</v>
      </c>
      <c r="BH205" s="202">
        <v>97</v>
      </c>
      <c r="BI205" s="202">
        <v>108</v>
      </c>
      <c r="BJ205" s="202">
        <v>119</v>
      </c>
      <c r="BK205" s="202">
        <v>131</v>
      </c>
    </row>
    <row r="206" spans="37:63" ht="15" hidden="1">
      <c r="AK206" s="196" t="s">
        <v>142</v>
      </c>
      <c r="AL206" s="197">
        <v>3792</v>
      </c>
      <c r="AM206" s="197">
        <v>3826</v>
      </c>
      <c r="AN206" s="197">
        <v>3861</v>
      </c>
      <c r="AO206" s="197">
        <v>3895</v>
      </c>
      <c r="AP206" s="197">
        <v>3930</v>
      </c>
      <c r="AQ206" s="197">
        <v>3966</v>
      </c>
      <c r="AR206" s="197">
        <v>4001</v>
      </c>
      <c r="AS206" s="197">
        <v>4037</v>
      </c>
      <c r="AT206" s="197">
        <v>4073</v>
      </c>
      <c r="AU206" s="197">
        <v>4109</v>
      </c>
      <c r="AV206" s="197">
        <v>4145</v>
      </c>
      <c r="AW206" s="197">
        <v>4182</v>
      </c>
      <c r="AY206" s="196" t="s">
        <v>140</v>
      </c>
      <c r="AZ206" s="202">
        <v>142</v>
      </c>
      <c r="BA206" s="202">
        <v>154</v>
      </c>
      <c r="BB206" s="202">
        <v>165</v>
      </c>
      <c r="BC206" s="202">
        <v>177</v>
      </c>
      <c r="BD206" s="202">
        <v>188</v>
      </c>
      <c r="BE206" s="202">
        <v>200</v>
      </c>
      <c r="BF206" s="202">
        <v>212</v>
      </c>
      <c r="BG206" s="202">
        <v>224</v>
      </c>
      <c r="BH206" s="202">
        <v>236</v>
      </c>
      <c r="BI206" s="202">
        <v>248</v>
      </c>
      <c r="BJ206" s="202">
        <v>260</v>
      </c>
      <c r="BK206" s="202">
        <v>272</v>
      </c>
    </row>
    <row r="207" spans="37:63" ht="15" hidden="1">
      <c r="AK207" s="196" t="s">
        <v>143</v>
      </c>
      <c r="AL207" s="197">
        <v>4219</v>
      </c>
      <c r="AM207" s="197">
        <v>4256</v>
      </c>
      <c r="AN207" s="197">
        <v>4294</v>
      </c>
      <c r="AO207" s="197">
        <v>4331</v>
      </c>
      <c r="AP207" s="197">
        <v>4369</v>
      </c>
      <c r="AQ207" s="197">
        <v>4407</v>
      </c>
      <c r="AR207" s="197">
        <v>4445</v>
      </c>
      <c r="AS207" s="197">
        <v>4484</v>
      </c>
      <c r="AT207" s="197">
        <v>4523</v>
      </c>
      <c r="AU207" s="197">
        <v>4562</v>
      </c>
      <c r="AV207" s="197">
        <v>4601</v>
      </c>
      <c r="AW207" s="197">
        <v>4641</v>
      </c>
      <c r="AY207" s="196" t="s">
        <v>141</v>
      </c>
      <c r="AZ207" s="202">
        <v>285</v>
      </c>
      <c r="BA207" s="202">
        <v>297</v>
      </c>
      <c r="BB207" s="202">
        <v>309</v>
      </c>
      <c r="BC207" s="202">
        <v>322</v>
      </c>
      <c r="BD207" s="202">
        <v>335</v>
      </c>
      <c r="BE207" s="202">
        <v>347</v>
      </c>
      <c r="BF207" s="202">
        <v>360</v>
      </c>
      <c r="BG207" s="202">
        <v>373</v>
      </c>
      <c r="BH207" s="202">
        <v>386</v>
      </c>
      <c r="BI207" s="202">
        <v>399</v>
      </c>
      <c r="BJ207" s="202">
        <v>412</v>
      </c>
      <c r="BK207" s="202">
        <v>426</v>
      </c>
    </row>
    <row r="208" spans="37:63" ht="15" hidden="1">
      <c r="AK208" s="196" t="s">
        <v>144</v>
      </c>
      <c r="AL208" s="197">
        <v>4681</v>
      </c>
      <c r="AM208" s="197">
        <v>4721</v>
      </c>
      <c r="AN208" s="197">
        <v>4762</v>
      </c>
      <c r="AO208" s="197">
        <v>4802</v>
      </c>
      <c r="AP208" s="197">
        <v>4843</v>
      </c>
      <c r="AQ208" s="197">
        <v>4885</v>
      </c>
      <c r="AR208" s="197">
        <v>4926</v>
      </c>
      <c r="AS208" s="197">
        <v>4968</v>
      </c>
      <c r="AT208" s="197">
        <v>5010</v>
      </c>
      <c r="AU208" s="197">
        <v>5052</v>
      </c>
      <c r="AV208" s="197">
        <v>5095</v>
      </c>
      <c r="AW208" s="197">
        <v>5138</v>
      </c>
      <c r="AY208" s="196" t="s">
        <v>142</v>
      </c>
      <c r="AZ208" s="202">
        <v>439</v>
      </c>
      <c r="BA208" s="202">
        <v>452</v>
      </c>
      <c r="BB208" s="202">
        <v>466</v>
      </c>
      <c r="BC208" s="202">
        <v>479</v>
      </c>
      <c r="BD208" s="202">
        <v>493</v>
      </c>
      <c r="BE208" s="202">
        <v>507</v>
      </c>
      <c r="BF208" s="202">
        <v>521</v>
      </c>
      <c r="BG208" s="202">
        <v>535</v>
      </c>
      <c r="BH208" s="202">
        <v>549</v>
      </c>
      <c r="BI208" s="202">
        <v>563</v>
      </c>
      <c r="BJ208" s="202">
        <v>577</v>
      </c>
      <c r="BK208" s="202">
        <v>592</v>
      </c>
    </row>
    <row r="209" spans="37:63" ht="15" hidden="1">
      <c r="AK209" s="196" t="s">
        <v>145</v>
      </c>
      <c r="AL209" s="197">
        <v>5181</v>
      </c>
      <c r="AM209" s="197">
        <v>5225</v>
      </c>
      <c r="AN209" s="197">
        <v>5269</v>
      </c>
      <c r="AO209" s="197">
        <v>5313</v>
      </c>
      <c r="AP209" s="197">
        <v>5357</v>
      </c>
      <c r="AQ209" s="197">
        <v>5402</v>
      </c>
      <c r="AR209" s="197">
        <v>5447</v>
      </c>
      <c r="AS209" s="197">
        <v>5492</v>
      </c>
      <c r="AT209" s="197">
        <v>5538</v>
      </c>
      <c r="AU209" s="197">
        <v>5583</v>
      </c>
      <c r="AV209" s="197">
        <v>5629</v>
      </c>
      <c r="AW209" s="197">
        <v>5676</v>
      </c>
      <c r="AY209" s="196" t="s">
        <v>143</v>
      </c>
      <c r="AZ209" s="202">
        <v>606</v>
      </c>
      <c r="BA209" s="202">
        <v>620</v>
      </c>
      <c r="BB209" s="202">
        <v>635</v>
      </c>
      <c r="BC209" s="202">
        <v>650</v>
      </c>
      <c r="BD209" s="202">
        <v>665</v>
      </c>
      <c r="BE209" s="202">
        <v>680</v>
      </c>
      <c r="BF209" s="202">
        <v>695</v>
      </c>
      <c r="BG209" s="202">
        <v>710</v>
      </c>
      <c r="BH209" s="202">
        <v>725</v>
      </c>
      <c r="BI209" s="202">
        <v>740</v>
      </c>
      <c r="BJ209" s="202">
        <v>756</v>
      </c>
      <c r="BK209" s="202">
        <v>771</v>
      </c>
    </row>
    <row r="210" spans="37:63" ht="15" hidden="1">
      <c r="AK210" s="196" t="s">
        <v>146</v>
      </c>
      <c r="AL210" s="197">
        <v>5723</v>
      </c>
      <c r="AM210" s="197">
        <v>5773</v>
      </c>
      <c r="AN210" s="197">
        <v>5825</v>
      </c>
      <c r="AO210" s="197">
        <v>5876</v>
      </c>
      <c r="AP210" s="197">
        <v>5927</v>
      </c>
      <c r="AQ210" s="197">
        <v>5980</v>
      </c>
      <c r="AR210" s="197">
        <v>6032</v>
      </c>
      <c r="AS210" s="197">
        <v>6084</v>
      </c>
      <c r="AT210" s="197">
        <v>6138</v>
      </c>
      <c r="AU210" s="197">
        <v>6191</v>
      </c>
      <c r="AV210" s="197">
        <v>6245</v>
      </c>
      <c r="AW210" s="197">
        <v>6300</v>
      </c>
      <c r="AY210" s="196" t="s">
        <v>144</v>
      </c>
      <c r="AZ210" s="202">
        <v>787</v>
      </c>
      <c r="BA210" s="202">
        <v>803</v>
      </c>
      <c r="BB210" s="202">
        <v>818</v>
      </c>
      <c r="BC210" s="202">
        <v>834</v>
      </c>
      <c r="BD210" s="202">
        <v>850</v>
      </c>
      <c r="BE210" s="202">
        <v>867</v>
      </c>
      <c r="BF210" s="202">
        <v>883</v>
      </c>
      <c r="BG210" s="202">
        <v>899</v>
      </c>
      <c r="BH210" s="202">
        <v>916</v>
      </c>
      <c r="BI210" s="202">
        <v>932</v>
      </c>
      <c r="BJ210" s="202">
        <v>949</v>
      </c>
      <c r="BK210" s="202">
        <v>966</v>
      </c>
    </row>
    <row r="211" spans="37:63" ht="15" hidden="1">
      <c r="AK211" s="196" t="s">
        <v>242</v>
      </c>
      <c r="AL211" s="197">
        <v>6354</v>
      </c>
      <c r="AM211" s="197">
        <v>6409</v>
      </c>
      <c r="AN211" s="197">
        <v>6465</v>
      </c>
      <c r="AO211" s="197">
        <v>6521</v>
      </c>
      <c r="AP211" s="197">
        <v>6577</v>
      </c>
      <c r="AQ211" s="199">
        <v>6635</v>
      </c>
      <c r="AR211" s="199">
        <v>6692</v>
      </c>
      <c r="AS211" s="199">
        <v>6750</v>
      </c>
      <c r="AT211" s="199">
        <v>6809</v>
      </c>
      <c r="AU211" s="199">
        <v>6868</v>
      </c>
      <c r="AV211" s="199">
        <v>6927</v>
      </c>
      <c r="AW211" s="199">
        <v>6987</v>
      </c>
      <c r="AY211" s="196" t="s">
        <v>145</v>
      </c>
      <c r="AZ211" s="202">
        <v>983</v>
      </c>
      <c r="BA211" s="202">
        <v>1000</v>
      </c>
      <c r="BB211" s="202">
        <v>1017</v>
      </c>
      <c r="BC211" s="202">
        <v>1034</v>
      </c>
      <c r="BD211" s="202">
        <v>1052</v>
      </c>
      <c r="BE211" s="202">
        <v>1069</v>
      </c>
      <c r="BF211" s="202">
        <v>1087</v>
      </c>
      <c r="BG211" s="202">
        <v>1104</v>
      </c>
      <c r="BH211" s="202">
        <v>1122</v>
      </c>
      <c r="BI211" s="202">
        <v>1140</v>
      </c>
      <c r="BJ211" s="202">
        <v>1158</v>
      </c>
      <c r="BK211" s="202">
        <v>1177</v>
      </c>
    </row>
    <row r="212" spans="37:63" ht="15" hidden="1">
      <c r="AK212" s="195" t="s">
        <v>314</v>
      </c>
      <c r="AL212" s="199">
        <v>7048</v>
      </c>
      <c r="AM212" s="199">
        <v>7108</v>
      </c>
      <c r="AN212" s="199">
        <v>7170</v>
      </c>
      <c r="AO212" s="199">
        <v>7231</v>
      </c>
      <c r="AP212" s="199">
        <v>7293</v>
      </c>
      <c r="AQ212"/>
      <c r="AR212"/>
      <c r="AS212"/>
      <c r="AT212"/>
      <c r="AU212"/>
      <c r="AV212"/>
      <c r="AW212"/>
      <c r="AY212" s="196" t="s">
        <v>146</v>
      </c>
      <c r="AZ212" s="202">
        <v>1195</v>
      </c>
      <c r="BA212" s="202">
        <v>1214</v>
      </c>
      <c r="BB212" s="202">
        <v>1233</v>
      </c>
      <c r="BC212" s="202">
        <v>1253</v>
      </c>
      <c r="BD212" s="202">
        <v>1272</v>
      </c>
      <c r="BE212" s="202">
        <v>1292</v>
      </c>
      <c r="BF212" s="202">
        <v>1311</v>
      </c>
      <c r="BG212" s="202">
        <v>1331</v>
      </c>
      <c r="BH212" s="202">
        <v>1351</v>
      </c>
      <c r="BI212" s="202">
        <v>1371</v>
      </c>
      <c r="BJ212" s="202">
        <v>1392</v>
      </c>
      <c r="BK212" s="202">
        <v>1412</v>
      </c>
    </row>
    <row r="213" spans="51:63" ht="15" hidden="1">
      <c r="AY213" s="196" t="s">
        <v>242</v>
      </c>
      <c r="AZ213" s="202">
        <v>1433</v>
      </c>
      <c r="BA213" s="202">
        <v>1453</v>
      </c>
      <c r="BB213" s="202">
        <v>1474</v>
      </c>
      <c r="BC213" s="202">
        <v>1495</v>
      </c>
      <c r="BD213" s="202">
        <v>1517</v>
      </c>
      <c r="BE213" s="203">
        <v>1538</v>
      </c>
      <c r="BF213" s="203">
        <v>1560</v>
      </c>
      <c r="BG213" s="203">
        <v>1581</v>
      </c>
      <c r="BH213" s="203">
        <v>1603</v>
      </c>
      <c r="BI213" s="203">
        <v>1625</v>
      </c>
      <c r="BJ213" s="203">
        <v>1647</v>
      </c>
      <c r="BK213" s="203">
        <v>1670</v>
      </c>
    </row>
    <row r="214" spans="37:63" ht="15" hidden="1">
      <c r="AK214" s="195"/>
      <c r="AL214" s="199"/>
      <c r="AM214" s="199"/>
      <c r="AN214" s="199"/>
      <c r="AO214" s="199"/>
      <c r="AP214" s="199"/>
      <c r="AQ214"/>
      <c r="AR214"/>
      <c r="AS214"/>
      <c r="AT214"/>
      <c r="AU214"/>
      <c r="AV214"/>
      <c r="AW214"/>
      <c r="AY214" s="195" t="s">
        <v>314</v>
      </c>
      <c r="AZ214" s="203">
        <v>1692</v>
      </c>
      <c r="BA214" s="203">
        <v>1715</v>
      </c>
      <c r="BB214" s="203">
        <v>1738</v>
      </c>
      <c r="BC214" s="203">
        <v>1761</v>
      </c>
      <c r="BD214" s="203">
        <v>1784</v>
      </c>
      <c r="BE214"/>
      <c r="BF214"/>
      <c r="BG214"/>
      <c r="BH214"/>
      <c r="BI214"/>
      <c r="BJ214"/>
      <c r="BK214"/>
    </row>
    <row r="215" spans="51:63" ht="15" hidden="1">
      <c r="AY215" s="201" t="s">
        <v>123</v>
      </c>
      <c r="AZ215" s="201" t="s">
        <v>116</v>
      </c>
      <c r="BA215" s="201" t="s">
        <v>117</v>
      </c>
      <c r="BB215" s="201" t="s">
        <v>118</v>
      </c>
      <c r="BC215" s="201" t="s">
        <v>124</v>
      </c>
      <c r="BD215" s="201" t="s">
        <v>125</v>
      </c>
      <c r="BE215" s="201" t="s">
        <v>126</v>
      </c>
      <c r="BF215" s="201" t="s">
        <v>119</v>
      </c>
      <c r="BG215" s="201" t="s">
        <v>120</v>
      </c>
      <c r="BH215" s="201" t="s">
        <v>121</v>
      </c>
      <c r="BI215" s="201" t="s">
        <v>122</v>
      </c>
      <c r="BJ215" s="201" t="s">
        <v>127</v>
      </c>
      <c r="BK215" s="201" t="s">
        <v>128</v>
      </c>
    </row>
    <row r="216" spans="51:63" ht="15" hidden="1">
      <c r="AY216" s="196" t="s">
        <v>140</v>
      </c>
      <c r="AZ216" s="202">
        <v>11</v>
      </c>
      <c r="BA216" s="202">
        <v>21</v>
      </c>
      <c r="BB216" s="202">
        <v>32</v>
      </c>
      <c r="BC216" s="202">
        <v>42</v>
      </c>
      <c r="BD216" s="202">
        <v>53</v>
      </c>
      <c r="BE216" s="202">
        <v>64</v>
      </c>
      <c r="BF216" s="202">
        <v>75</v>
      </c>
      <c r="BG216" s="202">
        <v>86</v>
      </c>
      <c r="BH216" s="202">
        <v>97</v>
      </c>
      <c r="BI216" s="202">
        <v>108</v>
      </c>
      <c r="BJ216" s="202">
        <v>119</v>
      </c>
      <c r="BK216" s="202">
        <v>131</v>
      </c>
    </row>
    <row r="217" spans="51:63" ht="15" hidden="1">
      <c r="AY217" s="196" t="s">
        <v>141</v>
      </c>
      <c r="AZ217" s="202">
        <v>142</v>
      </c>
      <c r="BA217" s="202">
        <v>154</v>
      </c>
      <c r="BB217" s="202">
        <v>165</v>
      </c>
      <c r="BC217" s="202">
        <v>177</v>
      </c>
      <c r="BD217" s="202">
        <v>188</v>
      </c>
      <c r="BE217" s="202">
        <v>200</v>
      </c>
      <c r="BF217" s="202">
        <v>212</v>
      </c>
      <c r="BG217" s="202">
        <v>224</v>
      </c>
      <c r="BH217" s="202">
        <v>236</v>
      </c>
      <c r="BI217" s="202">
        <v>248</v>
      </c>
      <c r="BJ217" s="202">
        <v>260</v>
      </c>
      <c r="BK217" s="202">
        <v>272</v>
      </c>
    </row>
    <row r="218" spans="51:63" ht="15" hidden="1">
      <c r="AY218" s="196" t="s">
        <v>142</v>
      </c>
      <c r="AZ218" s="202">
        <v>285</v>
      </c>
      <c r="BA218" s="202">
        <v>297</v>
      </c>
      <c r="BB218" s="202">
        <v>309</v>
      </c>
      <c r="BC218" s="202">
        <v>322</v>
      </c>
      <c r="BD218" s="202">
        <v>335</v>
      </c>
      <c r="BE218" s="202">
        <v>347</v>
      </c>
      <c r="BF218" s="202">
        <v>360</v>
      </c>
      <c r="BG218" s="202">
        <v>373</v>
      </c>
      <c r="BH218" s="202">
        <v>386</v>
      </c>
      <c r="BI218" s="202">
        <v>399</v>
      </c>
      <c r="BJ218" s="202">
        <v>412</v>
      </c>
      <c r="BK218" s="202">
        <v>426</v>
      </c>
    </row>
    <row r="219" spans="51:63" ht="15" hidden="1">
      <c r="AY219" s="196" t="s">
        <v>143</v>
      </c>
      <c r="AZ219" s="202">
        <v>439</v>
      </c>
      <c r="BA219" s="202">
        <v>452</v>
      </c>
      <c r="BB219" s="202">
        <v>466</v>
      </c>
      <c r="BC219" s="202">
        <v>479</v>
      </c>
      <c r="BD219" s="202">
        <v>493</v>
      </c>
      <c r="BE219" s="202">
        <v>507</v>
      </c>
      <c r="BF219" s="202">
        <v>521</v>
      </c>
      <c r="BG219" s="202">
        <v>535</v>
      </c>
      <c r="BH219" s="202">
        <v>549</v>
      </c>
      <c r="BI219" s="202">
        <v>563</v>
      </c>
      <c r="BJ219" s="202">
        <v>577</v>
      </c>
      <c r="BK219" s="202">
        <v>592</v>
      </c>
    </row>
    <row r="220" spans="51:63" ht="15" hidden="1">
      <c r="AY220" s="196" t="s">
        <v>144</v>
      </c>
      <c r="AZ220" s="202">
        <v>606</v>
      </c>
      <c r="BA220" s="202">
        <v>620</v>
      </c>
      <c r="BB220" s="202">
        <v>635</v>
      </c>
      <c r="BC220" s="202">
        <v>650</v>
      </c>
      <c r="BD220" s="202">
        <v>665</v>
      </c>
      <c r="BE220" s="202">
        <v>680</v>
      </c>
      <c r="BF220" s="202">
        <v>695</v>
      </c>
      <c r="BG220" s="202">
        <v>710</v>
      </c>
      <c r="BH220" s="202">
        <v>725</v>
      </c>
      <c r="BI220" s="202">
        <v>740</v>
      </c>
      <c r="BJ220" s="202">
        <v>756</v>
      </c>
      <c r="BK220" s="202">
        <v>771</v>
      </c>
    </row>
    <row r="221" spans="51:63" ht="15" hidden="1">
      <c r="AY221" s="196" t="s">
        <v>145</v>
      </c>
      <c r="AZ221" s="202">
        <v>787</v>
      </c>
      <c r="BA221" s="202">
        <v>803</v>
      </c>
      <c r="BB221" s="202">
        <v>818</v>
      </c>
      <c r="BC221" s="202">
        <v>834</v>
      </c>
      <c r="BD221" s="202">
        <v>850</v>
      </c>
      <c r="BE221" s="202">
        <v>867</v>
      </c>
      <c r="BF221" s="202">
        <v>883</v>
      </c>
      <c r="BG221" s="202">
        <v>899</v>
      </c>
      <c r="BH221" s="202">
        <v>916</v>
      </c>
      <c r="BI221" s="202">
        <v>932</v>
      </c>
      <c r="BJ221" s="202">
        <v>949</v>
      </c>
      <c r="BK221" s="202">
        <v>966</v>
      </c>
    </row>
    <row r="222" spans="51:63" ht="15" hidden="1">
      <c r="AY222" s="196" t="s">
        <v>146</v>
      </c>
      <c r="AZ222" s="202">
        <v>983</v>
      </c>
      <c r="BA222" s="202">
        <v>1000</v>
      </c>
      <c r="BB222" s="202">
        <v>1018</v>
      </c>
      <c r="BC222" s="202">
        <v>1036</v>
      </c>
      <c r="BD222" s="202">
        <v>1054</v>
      </c>
      <c r="BE222" s="202">
        <v>1072</v>
      </c>
      <c r="BF222" s="202">
        <v>1090</v>
      </c>
      <c r="BG222" s="202">
        <v>1108</v>
      </c>
      <c r="BH222" s="202">
        <v>1127</v>
      </c>
      <c r="BI222" s="202">
        <v>1145</v>
      </c>
      <c r="BJ222" s="202">
        <v>1164</v>
      </c>
      <c r="BK222" s="202">
        <v>1183</v>
      </c>
    </row>
    <row r="223" spans="51:63" ht="15" hidden="1">
      <c r="AY223" s="196" t="s">
        <v>242</v>
      </c>
      <c r="AZ223" s="202">
        <v>1202</v>
      </c>
      <c r="BA223" s="202">
        <v>1221</v>
      </c>
      <c r="BB223" s="202">
        <v>1240</v>
      </c>
      <c r="BC223" s="202">
        <v>1259</v>
      </c>
      <c r="BD223" s="202">
        <v>1279</v>
      </c>
      <c r="BE223" s="203">
        <v>1299</v>
      </c>
      <c r="BF223" s="203">
        <v>1318</v>
      </c>
      <c r="BG223" s="203">
        <v>1338</v>
      </c>
      <c r="BH223" s="203">
        <v>1358</v>
      </c>
      <c r="BI223" s="203">
        <v>1379</v>
      </c>
      <c r="BJ223" s="203">
        <v>1399</v>
      </c>
      <c r="BK223" s="203">
        <v>1420</v>
      </c>
    </row>
    <row r="224" spans="51:63" ht="15" hidden="1">
      <c r="AY224" s="195" t="s">
        <v>314</v>
      </c>
      <c r="AZ224" s="203">
        <v>1440</v>
      </c>
      <c r="BA224" s="203">
        <v>1461</v>
      </c>
      <c r="BB224" s="203">
        <v>1482</v>
      </c>
      <c r="BC224" s="203">
        <v>1504</v>
      </c>
      <c r="BD224" s="203">
        <v>1525</v>
      </c>
      <c r="BE224"/>
      <c r="BF224"/>
      <c r="BG224"/>
      <c r="BH224"/>
      <c r="BI224"/>
      <c r="BJ224"/>
      <c r="BK224"/>
    </row>
    <row r="225" spans="51:63" ht="15" hidden="1">
      <c r="AY225" s="201" t="s">
        <v>123</v>
      </c>
      <c r="AZ225" s="201" t="s">
        <v>116</v>
      </c>
      <c r="BA225" s="201" t="s">
        <v>117</v>
      </c>
      <c r="BB225" s="201" t="s">
        <v>118</v>
      </c>
      <c r="BC225" s="201" t="s">
        <v>124</v>
      </c>
      <c r="BD225" s="201" t="s">
        <v>125</v>
      </c>
      <c r="BE225" s="201" t="s">
        <v>126</v>
      </c>
      <c r="BF225" s="201" t="s">
        <v>119</v>
      </c>
      <c r="BG225" s="201" t="s">
        <v>120</v>
      </c>
      <c r="BH225" s="201" t="s">
        <v>121</v>
      </c>
      <c r="BI225" s="201" t="s">
        <v>122</v>
      </c>
      <c r="BJ225" s="201" t="s">
        <v>127</v>
      </c>
      <c r="BK225" s="201" t="s">
        <v>128</v>
      </c>
    </row>
    <row r="226" spans="51:63" ht="15" hidden="1">
      <c r="AY226" s="196" t="s">
        <v>141</v>
      </c>
      <c r="AZ226" s="202">
        <v>11</v>
      </c>
      <c r="BA226" s="202">
        <v>21</v>
      </c>
      <c r="BB226" s="202">
        <v>32</v>
      </c>
      <c r="BC226" s="202">
        <v>42</v>
      </c>
      <c r="BD226" s="202">
        <v>53</v>
      </c>
      <c r="BE226" s="202">
        <v>64</v>
      </c>
      <c r="BF226" s="202">
        <v>75</v>
      </c>
      <c r="BG226" s="202">
        <v>86</v>
      </c>
      <c r="BH226" s="202">
        <v>97</v>
      </c>
      <c r="BI226" s="202">
        <v>108</v>
      </c>
      <c r="BJ226" s="202">
        <v>119</v>
      </c>
      <c r="BK226" s="202">
        <v>131</v>
      </c>
    </row>
    <row r="227" spans="51:63" ht="15" hidden="1">
      <c r="AY227" s="196" t="s">
        <v>142</v>
      </c>
      <c r="AZ227" s="202">
        <v>142</v>
      </c>
      <c r="BA227" s="202">
        <v>154</v>
      </c>
      <c r="BB227" s="202">
        <v>165</v>
      </c>
      <c r="BC227" s="202">
        <v>177</v>
      </c>
      <c r="BD227" s="202">
        <v>188</v>
      </c>
      <c r="BE227" s="202">
        <v>200</v>
      </c>
      <c r="BF227" s="202">
        <v>212</v>
      </c>
      <c r="BG227" s="202">
        <v>224</v>
      </c>
      <c r="BH227" s="202">
        <v>236</v>
      </c>
      <c r="BI227" s="202">
        <v>248</v>
      </c>
      <c r="BJ227" s="202">
        <v>260</v>
      </c>
      <c r="BK227" s="202">
        <v>272</v>
      </c>
    </row>
    <row r="228" spans="51:63" ht="15" hidden="1">
      <c r="AY228" s="196" t="s">
        <v>143</v>
      </c>
      <c r="AZ228" s="202">
        <v>285</v>
      </c>
      <c r="BA228" s="202">
        <v>297</v>
      </c>
      <c r="BB228" s="202">
        <v>309</v>
      </c>
      <c r="BC228" s="202">
        <v>322</v>
      </c>
      <c r="BD228" s="202">
        <v>335</v>
      </c>
      <c r="BE228" s="202">
        <v>347</v>
      </c>
      <c r="BF228" s="202">
        <v>360</v>
      </c>
      <c r="BG228" s="202">
        <v>373</v>
      </c>
      <c r="BH228" s="202">
        <v>386</v>
      </c>
      <c r="BI228" s="202">
        <v>399</v>
      </c>
      <c r="BJ228" s="202">
        <v>412</v>
      </c>
      <c r="BK228" s="202">
        <v>426</v>
      </c>
    </row>
    <row r="229" spans="51:63" ht="15" hidden="1">
      <c r="AY229" s="196" t="s">
        <v>144</v>
      </c>
      <c r="AZ229" s="202">
        <v>439</v>
      </c>
      <c r="BA229" s="202">
        <v>452</v>
      </c>
      <c r="BB229" s="202">
        <v>466</v>
      </c>
      <c r="BC229" s="202">
        <v>479</v>
      </c>
      <c r="BD229" s="202">
        <v>493</v>
      </c>
      <c r="BE229" s="202">
        <v>507</v>
      </c>
      <c r="BF229" s="202">
        <v>521</v>
      </c>
      <c r="BG229" s="202">
        <v>535</v>
      </c>
      <c r="BH229" s="202">
        <v>549</v>
      </c>
      <c r="BI229" s="202">
        <v>563</v>
      </c>
      <c r="BJ229" s="202">
        <v>577</v>
      </c>
      <c r="BK229" s="202">
        <v>592</v>
      </c>
    </row>
    <row r="230" spans="51:63" ht="15" hidden="1">
      <c r="AY230" s="196" t="s">
        <v>145</v>
      </c>
      <c r="AZ230" s="202">
        <v>606</v>
      </c>
      <c r="BA230" s="202">
        <v>621</v>
      </c>
      <c r="BB230" s="202">
        <v>635</v>
      </c>
      <c r="BC230" s="202">
        <v>650</v>
      </c>
      <c r="BD230" s="202">
        <v>665</v>
      </c>
      <c r="BE230" s="202">
        <v>680</v>
      </c>
      <c r="BF230" s="202">
        <v>695</v>
      </c>
      <c r="BG230" s="202">
        <v>710</v>
      </c>
      <c r="BH230" s="202">
        <v>725</v>
      </c>
      <c r="BI230" s="202">
        <v>740</v>
      </c>
      <c r="BJ230" s="202">
        <v>756</v>
      </c>
      <c r="BK230" s="202">
        <v>771</v>
      </c>
    </row>
    <row r="231" spans="51:63" ht="15" hidden="1">
      <c r="AY231" s="196" t="s">
        <v>146</v>
      </c>
      <c r="AZ231" s="202">
        <v>787</v>
      </c>
      <c r="BA231" s="202">
        <v>803</v>
      </c>
      <c r="BB231" s="202">
        <v>819</v>
      </c>
      <c r="BC231" s="202">
        <v>836</v>
      </c>
      <c r="BD231" s="202">
        <v>852</v>
      </c>
      <c r="BE231" s="202">
        <v>869</v>
      </c>
      <c r="BF231" s="202">
        <v>885</v>
      </c>
      <c r="BG231" s="202">
        <v>902</v>
      </c>
      <c r="BH231" s="202">
        <v>919</v>
      </c>
      <c r="BI231" s="202">
        <v>936</v>
      </c>
      <c r="BJ231" s="202">
        <v>953</v>
      </c>
      <c r="BK231" s="202">
        <v>971</v>
      </c>
    </row>
    <row r="232" spans="51:63" ht="15" hidden="1">
      <c r="AY232" s="196" t="s">
        <v>242</v>
      </c>
      <c r="AZ232" s="202">
        <v>988</v>
      </c>
      <c r="BA232" s="202">
        <v>1006</v>
      </c>
      <c r="BB232" s="202">
        <v>1024</v>
      </c>
      <c r="BC232" s="202">
        <v>1041</v>
      </c>
      <c r="BD232" s="202">
        <v>1059</v>
      </c>
      <c r="BE232" s="203">
        <v>1077</v>
      </c>
      <c r="BF232" s="203">
        <v>1096</v>
      </c>
      <c r="BG232" s="203">
        <v>1114</v>
      </c>
      <c r="BH232" s="203">
        <v>1133</v>
      </c>
      <c r="BI232" s="203">
        <v>1151</v>
      </c>
      <c r="BJ232" s="203">
        <v>1170</v>
      </c>
      <c r="BK232" s="203">
        <v>1189</v>
      </c>
    </row>
    <row r="233" spans="51:63" ht="15" hidden="1">
      <c r="AY233" s="195" t="s">
        <v>314</v>
      </c>
      <c r="AZ233" s="203">
        <v>1208</v>
      </c>
      <c r="BA233" s="203">
        <v>1227</v>
      </c>
      <c r="BB233" s="203">
        <v>1247</v>
      </c>
      <c r="BC233" s="203">
        <v>1266</v>
      </c>
      <c r="BD233" s="203">
        <v>1286</v>
      </c>
      <c r="BE233"/>
      <c r="BF233"/>
      <c r="BG233"/>
      <c r="BH233"/>
      <c r="BI233"/>
      <c r="BJ233"/>
      <c r="BK233"/>
    </row>
    <row r="234" spans="51:63" ht="15" hidden="1">
      <c r="AY234" s="201" t="s">
        <v>123</v>
      </c>
      <c r="AZ234" s="201" t="s">
        <v>116</v>
      </c>
      <c r="BA234" s="201" t="s">
        <v>117</v>
      </c>
      <c r="BB234" s="201" t="s">
        <v>118</v>
      </c>
      <c r="BC234" s="201" t="s">
        <v>124</v>
      </c>
      <c r="BD234" s="201" t="s">
        <v>125</v>
      </c>
      <c r="BE234" s="201" t="s">
        <v>126</v>
      </c>
      <c r="BF234" s="201" t="s">
        <v>119</v>
      </c>
      <c r="BG234" s="201" t="s">
        <v>120</v>
      </c>
      <c r="BH234" s="201" t="s">
        <v>121</v>
      </c>
      <c r="BI234" s="201" t="s">
        <v>122</v>
      </c>
      <c r="BJ234" s="201" t="s">
        <v>127</v>
      </c>
      <c r="BK234" s="201" t="s">
        <v>128</v>
      </c>
    </row>
    <row r="235" spans="51:63" ht="15" hidden="1">
      <c r="AY235" s="196" t="s">
        <v>142</v>
      </c>
      <c r="AZ235" s="202">
        <v>11</v>
      </c>
      <c r="BA235" s="202">
        <v>21</v>
      </c>
      <c r="BB235" s="202">
        <v>32</v>
      </c>
      <c r="BC235" s="202">
        <v>42</v>
      </c>
      <c r="BD235" s="202">
        <v>53</v>
      </c>
      <c r="BE235" s="202">
        <v>64</v>
      </c>
      <c r="BF235" s="202">
        <v>75</v>
      </c>
      <c r="BG235" s="202">
        <v>86</v>
      </c>
      <c r="BH235" s="202">
        <v>97</v>
      </c>
      <c r="BI235" s="202">
        <v>108</v>
      </c>
      <c r="BJ235" s="202">
        <v>119</v>
      </c>
      <c r="BK235" s="202">
        <v>131</v>
      </c>
    </row>
    <row r="236" spans="51:63" ht="15" hidden="1">
      <c r="AY236" s="196" t="s">
        <v>143</v>
      </c>
      <c r="AZ236" s="202">
        <v>142</v>
      </c>
      <c r="BA236" s="202">
        <v>154</v>
      </c>
      <c r="BB236" s="202">
        <v>165</v>
      </c>
      <c r="BC236" s="202">
        <v>177</v>
      </c>
      <c r="BD236" s="202">
        <v>188</v>
      </c>
      <c r="BE236" s="202">
        <v>200</v>
      </c>
      <c r="BF236" s="202">
        <v>212</v>
      </c>
      <c r="BG236" s="202">
        <v>224</v>
      </c>
      <c r="BH236" s="202">
        <v>236</v>
      </c>
      <c r="BI236" s="202">
        <v>248</v>
      </c>
      <c r="BJ236" s="202">
        <v>260</v>
      </c>
      <c r="BK236" s="202">
        <v>272</v>
      </c>
    </row>
    <row r="237" spans="51:63" ht="15" hidden="1">
      <c r="AY237" s="196" t="s">
        <v>144</v>
      </c>
      <c r="AZ237" s="202">
        <v>285</v>
      </c>
      <c r="BA237" s="202">
        <v>297</v>
      </c>
      <c r="BB237" s="202">
        <v>309</v>
      </c>
      <c r="BC237" s="202">
        <v>322</v>
      </c>
      <c r="BD237" s="202">
        <v>335</v>
      </c>
      <c r="BE237" s="202">
        <v>347</v>
      </c>
      <c r="BF237" s="202">
        <v>360</v>
      </c>
      <c r="BG237" s="202">
        <v>373</v>
      </c>
      <c r="BH237" s="202">
        <v>386</v>
      </c>
      <c r="BI237" s="202">
        <v>399</v>
      </c>
      <c r="BJ237" s="202">
        <v>412</v>
      </c>
      <c r="BK237" s="202">
        <v>426</v>
      </c>
    </row>
    <row r="238" spans="51:63" ht="15" hidden="1">
      <c r="AY238" s="196" t="s">
        <v>145</v>
      </c>
      <c r="AZ238" s="202">
        <v>439</v>
      </c>
      <c r="BA238" s="202">
        <v>452</v>
      </c>
      <c r="BB238" s="202">
        <v>466</v>
      </c>
      <c r="BC238" s="202">
        <v>479</v>
      </c>
      <c r="BD238" s="202">
        <v>493</v>
      </c>
      <c r="BE238" s="202">
        <v>507</v>
      </c>
      <c r="BF238" s="202">
        <v>521</v>
      </c>
      <c r="BG238" s="202">
        <v>535</v>
      </c>
      <c r="BH238" s="202">
        <v>549</v>
      </c>
      <c r="BI238" s="202">
        <v>563</v>
      </c>
      <c r="BJ238" s="202">
        <v>577</v>
      </c>
      <c r="BK238" s="202">
        <v>592</v>
      </c>
    </row>
    <row r="239" spans="51:63" ht="15" hidden="1">
      <c r="AY239" s="196" t="s">
        <v>146</v>
      </c>
      <c r="AZ239" s="202">
        <v>606</v>
      </c>
      <c r="BA239" s="202">
        <v>621</v>
      </c>
      <c r="BB239" s="202">
        <v>636</v>
      </c>
      <c r="BC239" s="202">
        <v>651</v>
      </c>
      <c r="BD239" s="202">
        <v>666</v>
      </c>
      <c r="BE239" s="202">
        <v>681</v>
      </c>
      <c r="BF239" s="202">
        <v>697</v>
      </c>
      <c r="BG239" s="202">
        <v>712</v>
      </c>
      <c r="BH239" s="202">
        <v>728</v>
      </c>
      <c r="BI239" s="202">
        <v>743</v>
      </c>
      <c r="BJ239" s="202">
        <v>759</v>
      </c>
      <c r="BK239" s="202">
        <v>775</v>
      </c>
    </row>
    <row r="240" spans="51:63" ht="15" hidden="1">
      <c r="AY240" s="196" t="s">
        <v>242</v>
      </c>
      <c r="AZ240" s="202">
        <v>791</v>
      </c>
      <c r="BA240" s="202">
        <v>807</v>
      </c>
      <c r="BB240" s="202">
        <v>824</v>
      </c>
      <c r="BC240" s="202">
        <v>840</v>
      </c>
      <c r="BD240" s="202">
        <v>856</v>
      </c>
      <c r="BE240" s="203">
        <v>873</v>
      </c>
      <c r="BF240" s="203">
        <v>890</v>
      </c>
      <c r="BG240" s="203">
        <v>907</v>
      </c>
      <c r="BH240" s="203">
        <v>924</v>
      </c>
      <c r="BI240" s="203">
        <v>941</v>
      </c>
      <c r="BJ240" s="203">
        <v>958</v>
      </c>
      <c r="BK240" s="203">
        <v>976</v>
      </c>
    </row>
    <row r="241" spans="51:63" ht="15" hidden="1">
      <c r="AY241" s="195" t="s">
        <v>314</v>
      </c>
      <c r="AZ241" s="203">
        <v>993</v>
      </c>
      <c r="BA241" s="203">
        <v>1011</v>
      </c>
      <c r="BB241" s="203">
        <v>1029</v>
      </c>
      <c r="BC241" s="203">
        <v>1047</v>
      </c>
      <c r="BD241" s="203">
        <v>1065</v>
      </c>
      <c r="BE241"/>
      <c r="BF241"/>
      <c r="BG241"/>
      <c r="BH241"/>
      <c r="BI241"/>
      <c r="BJ241"/>
      <c r="BK241"/>
    </row>
    <row r="242" spans="51:63" ht="15" hidden="1">
      <c r="AY242" s="92" t="s">
        <v>123</v>
      </c>
      <c r="AZ242" s="93" t="s">
        <v>116</v>
      </c>
      <c r="BA242" s="93" t="s">
        <v>117</v>
      </c>
      <c r="BB242" s="93" t="s">
        <v>118</v>
      </c>
      <c r="BC242" s="93" t="s">
        <v>124</v>
      </c>
      <c r="BD242" s="93" t="s">
        <v>125</v>
      </c>
      <c r="BE242" s="93" t="s">
        <v>126</v>
      </c>
      <c r="BF242" s="93" t="s">
        <v>119</v>
      </c>
      <c r="BG242" s="93" t="s">
        <v>120</v>
      </c>
      <c r="BH242" s="93" t="s">
        <v>121</v>
      </c>
      <c r="BI242" s="93" t="s">
        <v>122</v>
      </c>
      <c r="BJ242" s="93" t="s">
        <v>127</v>
      </c>
      <c r="BK242" s="93" t="s">
        <v>128</v>
      </c>
    </row>
    <row r="243" spans="51:63" ht="15" hidden="1">
      <c r="AY243" s="196" t="s">
        <v>143</v>
      </c>
      <c r="AZ243" s="202">
        <v>11</v>
      </c>
      <c r="BA243" s="202">
        <v>21</v>
      </c>
      <c r="BB243" s="202">
        <v>32</v>
      </c>
      <c r="BC243" s="202">
        <v>42</v>
      </c>
      <c r="BD243" s="202">
        <v>53</v>
      </c>
      <c r="BE243" s="202">
        <v>64</v>
      </c>
      <c r="BF243" s="202">
        <v>75</v>
      </c>
      <c r="BG243" s="202">
        <v>86</v>
      </c>
      <c r="BH243" s="202">
        <v>97</v>
      </c>
      <c r="BI243" s="202">
        <v>108</v>
      </c>
      <c r="BJ243" s="202">
        <v>119</v>
      </c>
      <c r="BK243" s="202">
        <v>131</v>
      </c>
    </row>
    <row r="244" spans="51:63" ht="15" hidden="1">
      <c r="AY244" s="196" t="s">
        <v>144</v>
      </c>
      <c r="AZ244" s="202">
        <v>142</v>
      </c>
      <c r="BA244" s="202">
        <v>154</v>
      </c>
      <c r="BB244" s="202">
        <v>165</v>
      </c>
      <c r="BC244" s="202">
        <v>177</v>
      </c>
      <c r="BD244" s="202">
        <v>188</v>
      </c>
      <c r="BE244" s="202">
        <v>200</v>
      </c>
      <c r="BF244" s="202">
        <v>212</v>
      </c>
      <c r="BG244" s="202">
        <v>224</v>
      </c>
      <c r="BH244" s="202">
        <v>236</v>
      </c>
      <c r="BI244" s="202">
        <v>248</v>
      </c>
      <c r="BJ244" s="202">
        <v>260</v>
      </c>
      <c r="BK244" s="202">
        <v>272</v>
      </c>
    </row>
    <row r="245" spans="51:63" ht="15" hidden="1">
      <c r="AY245" s="196" t="s">
        <v>145</v>
      </c>
      <c r="AZ245" s="202">
        <v>285</v>
      </c>
      <c r="BA245" s="202">
        <v>297</v>
      </c>
      <c r="BB245" s="202">
        <v>309</v>
      </c>
      <c r="BC245" s="202">
        <v>322</v>
      </c>
      <c r="BD245" s="202">
        <v>335</v>
      </c>
      <c r="BE245" s="202">
        <v>347</v>
      </c>
      <c r="BF245" s="202">
        <v>360</v>
      </c>
      <c r="BG245" s="202">
        <v>373</v>
      </c>
      <c r="BH245" s="202">
        <v>386</v>
      </c>
      <c r="BI245" s="202">
        <v>399</v>
      </c>
      <c r="BJ245" s="202">
        <v>412</v>
      </c>
      <c r="BK245" s="202">
        <v>426</v>
      </c>
    </row>
    <row r="246" spans="51:63" ht="15" hidden="1">
      <c r="AY246" s="196" t="s">
        <v>146</v>
      </c>
      <c r="AZ246" s="202">
        <v>439</v>
      </c>
      <c r="BA246" s="202">
        <v>453</v>
      </c>
      <c r="BB246" s="202">
        <v>466</v>
      </c>
      <c r="BC246" s="202">
        <v>480</v>
      </c>
      <c r="BD246" s="202">
        <v>494</v>
      </c>
      <c r="BE246" s="202">
        <v>508</v>
      </c>
      <c r="BF246" s="202">
        <v>522</v>
      </c>
      <c r="BG246" s="202">
        <v>536</v>
      </c>
      <c r="BH246" s="202">
        <v>551</v>
      </c>
      <c r="BI246" s="202">
        <v>565</v>
      </c>
      <c r="BJ246" s="202">
        <v>580</v>
      </c>
      <c r="BK246" s="202">
        <v>594</v>
      </c>
    </row>
    <row r="247" spans="51:63" ht="15" hidden="1">
      <c r="AY247" s="196" t="s">
        <v>242</v>
      </c>
      <c r="AZ247" s="202">
        <v>609</v>
      </c>
      <c r="BA247" s="202">
        <v>624</v>
      </c>
      <c r="BB247" s="202">
        <v>639</v>
      </c>
      <c r="BC247" s="202">
        <v>654</v>
      </c>
      <c r="BD247" s="202">
        <v>669</v>
      </c>
      <c r="BE247" s="203">
        <v>685</v>
      </c>
      <c r="BF247" s="203">
        <v>700</v>
      </c>
      <c r="BG247" s="203">
        <v>715</v>
      </c>
      <c r="BH247" s="203">
        <v>731</v>
      </c>
      <c r="BI247" s="203">
        <v>747</v>
      </c>
      <c r="BJ247" s="203">
        <v>763</v>
      </c>
      <c r="BK247" s="203">
        <v>779</v>
      </c>
    </row>
    <row r="248" spans="51:63" ht="15" hidden="1">
      <c r="AY248" s="195" t="s">
        <v>314</v>
      </c>
      <c r="AZ248" s="203">
        <v>795</v>
      </c>
      <c r="BA248" s="203">
        <v>811</v>
      </c>
      <c r="BB248" s="203">
        <v>827</v>
      </c>
      <c r="BC248" s="203">
        <v>844</v>
      </c>
      <c r="BD248" s="203">
        <v>860</v>
      </c>
      <c r="BE248"/>
      <c r="BF248"/>
      <c r="BG248"/>
      <c r="BH248"/>
      <c r="BI248"/>
      <c r="BJ248"/>
      <c r="BK248"/>
    </row>
    <row r="249" spans="51:63" ht="15" hidden="1">
      <c r="AY249" s="92" t="s">
        <v>123</v>
      </c>
      <c r="AZ249" s="93" t="s">
        <v>116</v>
      </c>
      <c r="BA249" s="93" t="s">
        <v>117</v>
      </c>
      <c r="BB249" s="93" t="s">
        <v>118</v>
      </c>
      <c r="BC249" s="93" t="s">
        <v>124</v>
      </c>
      <c r="BD249" s="93" t="s">
        <v>125</v>
      </c>
      <c r="BE249" s="93" t="s">
        <v>126</v>
      </c>
      <c r="BF249" s="93" t="s">
        <v>119</v>
      </c>
      <c r="BG249" s="93" t="s">
        <v>120</v>
      </c>
      <c r="BH249" s="93" t="s">
        <v>121</v>
      </c>
      <c r="BI249" s="93" t="s">
        <v>122</v>
      </c>
      <c r="BJ249" s="93" t="s">
        <v>127</v>
      </c>
      <c r="BK249" s="93" t="s">
        <v>128</v>
      </c>
    </row>
    <row r="250" spans="51:63" ht="15" hidden="1">
      <c r="AY250" s="196" t="s">
        <v>144</v>
      </c>
      <c r="AZ250" s="202">
        <v>11</v>
      </c>
      <c r="BA250" s="202">
        <v>21</v>
      </c>
      <c r="BB250" s="202">
        <v>32</v>
      </c>
      <c r="BC250" s="202">
        <v>42</v>
      </c>
      <c r="BD250" s="202">
        <v>53</v>
      </c>
      <c r="BE250" s="202">
        <v>64</v>
      </c>
      <c r="BF250" s="202">
        <v>75</v>
      </c>
      <c r="BG250" s="202">
        <v>86</v>
      </c>
      <c r="BH250" s="202">
        <v>97</v>
      </c>
      <c r="BI250" s="202">
        <v>108</v>
      </c>
      <c r="BJ250" s="202">
        <v>119</v>
      </c>
      <c r="BK250" s="202">
        <v>131</v>
      </c>
    </row>
    <row r="251" spans="51:63" ht="15" hidden="1">
      <c r="AY251" s="196" t="s">
        <v>145</v>
      </c>
      <c r="AZ251" s="202">
        <v>142</v>
      </c>
      <c r="BA251" s="202">
        <v>154</v>
      </c>
      <c r="BB251" s="202">
        <v>165</v>
      </c>
      <c r="BC251" s="202">
        <v>177</v>
      </c>
      <c r="BD251" s="202">
        <v>188</v>
      </c>
      <c r="BE251" s="202">
        <v>200</v>
      </c>
      <c r="BF251" s="202">
        <v>212</v>
      </c>
      <c r="BG251" s="202">
        <v>224</v>
      </c>
      <c r="BH251" s="202">
        <v>236</v>
      </c>
      <c r="BI251" s="202">
        <v>248</v>
      </c>
      <c r="BJ251" s="202">
        <v>260</v>
      </c>
      <c r="BK251" s="202">
        <v>272</v>
      </c>
    </row>
    <row r="252" spans="51:63" ht="15" hidden="1">
      <c r="AY252" s="196" t="s">
        <v>146</v>
      </c>
      <c r="AZ252" s="202">
        <v>285</v>
      </c>
      <c r="BA252" s="202">
        <v>297</v>
      </c>
      <c r="BB252" s="202">
        <v>310</v>
      </c>
      <c r="BC252" s="202">
        <v>322</v>
      </c>
      <c r="BD252" s="202">
        <v>335</v>
      </c>
      <c r="BE252" s="202">
        <v>348</v>
      </c>
      <c r="BF252" s="202">
        <v>361</v>
      </c>
      <c r="BG252" s="202">
        <v>374</v>
      </c>
      <c r="BH252" s="202">
        <v>387</v>
      </c>
      <c r="BI252" s="202">
        <v>401</v>
      </c>
      <c r="BJ252" s="202">
        <v>414</v>
      </c>
      <c r="BK252" s="202">
        <v>428</v>
      </c>
    </row>
    <row r="253" spans="51:63" ht="15" hidden="1">
      <c r="AY253" s="196" t="s">
        <v>242</v>
      </c>
      <c r="AZ253" s="202">
        <v>441</v>
      </c>
      <c r="BA253" s="202">
        <v>455</v>
      </c>
      <c r="BB253" s="202">
        <v>468</v>
      </c>
      <c r="BC253" s="202">
        <v>482</v>
      </c>
      <c r="BD253" s="202">
        <v>496</v>
      </c>
      <c r="BE253" s="203">
        <v>510</v>
      </c>
      <c r="BF253" s="203">
        <v>525</v>
      </c>
      <c r="BG253" s="203">
        <v>539</v>
      </c>
      <c r="BH253" s="203">
        <v>553</v>
      </c>
      <c r="BI253" s="203">
        <v>568</v>
      </c>
      <c r="BJ253" s="203">
        <v>582</v>
      </c>
      <c r="BK253" s="203">
        <v>597</v>
      </c>
    </row>
    <row r="254" spans="51:63" ht="15" hidden="1">
      <c r="AY254" s="195" t="s">
        <v>314</v>
      </c>
      <c r="AZ254" s="203">
        <v>612</v>
      </c>
      <c r="BA254" s="203">
        <v>627</v>
      </c>
      <c r="BB254" s="203">
        <v>642</v>
      </c>
      <c r="BC254" s="203">
        <v>657</v>
      </c>
      <c r="BD254" s="203">
        <v>672</v>
      </c>
      <c r="BE254"/>
      <c r="BF254"/>
      <c r="BG254"/>
      <c r="BH254"/>
      <c r="BI254"/>
      <c r="BJ254"/>
      <c r="BK254"/>
    </row>
    <row r="255" spans="51:63" ht="15" hidden="1">
      <c r="AY255" s="92" t="s">
        <v>123</v>
      </c>
      <c r="AZ255" s="93" t="s">
        <v>116</v>
      </c>
      <c r="BA255" s="93" t="s">
        <v>117</v>
      </c>
      <c r="BB255" s="93" t="s">
        <v>118</v>
      </c>
      <c r="BC255" s="93" t="s">
        <v>124</v>
      </c>
      <c r="BD255" s="93" t="s">
        <v>125</v>
      </c>
      <c r="BE255" s="93" t="s">
        <v>126</v>
      </c>
      <c r="BF255" s="93" t="s">
        <v>119</v>
      </c>
      <c r="BG255" s="93" t="s">
        <v>120</v>
      </c>
      <c r="BH255" s="93" t="s">
        <v>121</v>
      </c>
      <c r="BI255" s="93" t="s">
        <v>122</v>
      </c>
      <c r="BJ255" s="93" t="s">
        <v>127</v>
      </c>
      <c r="BK255" s="93" t="s">
        <v>128</v>
      </c>
    </row>
    <row r="256" spans="51:63" ht="15" hidden="1">
      <c r="AY256" s="196" t="s">
        <v>145</v>
      </c>
      <c r="AZ256" s="202">
        <v>11</v>
      </c>
      <c r="BA256" s="202">
        <v>21</v>
      </c>
      <c r="BB256" s="202">
        <v>32</v>
      </c>
      <c r="BC256" s="202">
        <v>42</v>
      </c>
      <c r="BD256" s="202">
        <v>53</v>
      </c>
      <c r="BE256" s="202">
        <v>64</v>
      </c>
      <c r="BF256" s="202">
        <v>75</v>
      </c>
      <c r="BG256" s="202">
        <v>86</v>
      </c>
      <c r="BH256" s="202">
        <v>97</v>
      </c>
      <c r="BI256" s="202">
        <v>108</v>
      </c>
      <c r="BJ256" s="202">
        <v>119</v>
      </c>
      <c r="BK256" s="202">
        <v>131</v>
      </c>
    </row>
    <row r="257" spans="51:63" ht="15" hidden="1">
      <c r="AY257" s="196" t="s">
        <v>146</v>
      </c>
      <c r="AZ257" s="202">
        <v>142</v>
      </c>
      <c r="BA257" s="202">
        <v>154</v>
      </c>
      <c r="BB257" s="202">
        <v>165</v>
      </c>
      <c r="BC257" s="202">
        <v>177</v>
      </c>
      <c r="BD257" s="202">
        <v>189</v>
      </c>
      <c r="BE257" s="202">
        <v>201</v>
      </c>
      <c r="BF257" s="202">
        <v>212</v>
      </c>
      <c r="BG257" s="202">
        <v>224</v>
      </c>
      <c r="BH257" s="202">
        <v>237</v>
      </c>
      <c r="BI257" s="202">
        <v>249</v>
      </c>
      <c r="BJ257" s="202">
        <v>261</v>
      </c>
      <c r="BK257" s="202">
        <v>273</v>
      </c>
    </row>
    <row r="258" spans="51:63" ht="15" hidden="1">
      <c r="AY258" s="196" t="s">
        <v>242</v>
      </c>
      <c r="AZ258" s="202">
        <v>286</v>
      </c>
      <c r="BA258" s="202">
        <v>298</v>
      </c>
      <c r="BB258" s="202">
        <v>311</v>
      </c>
      <c r="BC258" s="202">
        <v>324</v>
      </c>
      <c r="BD258" s="202">
        <v>337</v>
      </c>
      <c r="BE258" s="203">
        <v>350</v>
      </c>
      <c r="BF258" s="203">
        <v>363</v>
      </c>
      <c r="BG258" s="203">
        <v>376</v>
      </c>
      <c r="BH258" s="203">
        <v>389</v>
      </c>
      <c r="BI258" s="203">
        <v>402</v>
      </c>
      <c r="BJ258" s="203">
        <v>416</v>
      </c>
      <c r="BK258" s="203">
        <v>429</v>
      </c>
    </row>
    <row r="259" spans="51:63" ht="15" hidden="1">
      <c r="AY259" s="195" t="s">
        <v>314</v>
      </c>
      <c r="AZ259" s="203">
        <v>443</v>
      </c>
      <c r="BA259" s="203">
        <v>456</v>
      </c>
      <c r="BB259" s="203">
        <v>470</v>
      </c>
      <c r="BC259" s="203">
        <v>484</v>
      </c>
      <c r="BD259" s="203">
        <v>498</v>
      </c>
      <c r="BE259"/>
      <c r="BF259"/>
      <c r="BG259"/>
      <c r="BH259"/>
      <c r="BI259"/>
      <c r="BJ259"/>
      <c r="BK259"/>
    </row>
    <row r="260" spans="51:63" ht="15" hidden="1">
      <c r="AY260" s="92" t="s">
        <v>123</v>
      </c>
      <c r="AZ260" s="93" t="s">
        <v>116</v>
      </c>
      <c r="BA260" s="93" t="s">
        <v>117</v>
      </c>
      <c r="BB260" s="93" t="s">
        <v>118</v>
      </c>
      <c r="BC260" s="93" t="s">
        <v>124</v>
      </c>
      <c r="BD260" s="93" t="s">
        <v>125</v>
      </c>
      <c r="BE260" s="93" t="s">
        <v>126</v>
      </c>
      <c r="BF260" s="93" t="s">
        <v>119</v>
      </c>
      <c r="BG260" s="93" t="s">
        <v>120</v>
      </c>
      <c r="BH260" s="93" t="s">
        <v>121</v>
      </c>
      <c r="BI260" s="93" t="s">
        <v>122</v>
      </c>
      <c r="BJ260" s="93" t="s">
        <v>127</v>
      </c>
      <c r="BK260" s="93" t="s">
        <v>128</v>
      </c>
    </row>
    <row r="261" spans="51:63" ht="15" hidden="1">
      <c r="AY261" s="196" t="s">
        <v>146</v>
      </c>
      <c r="AZ261" s="202">
        <v>11</v>
      </c>
      <c r="BA261" s="202">
        <v>21</v>
      </c>
      <c r="BB261" s="202">
        <v>32</v>
      </c>
      <c r="BC261" s="202">
        <v>42</v>
      </c>
      <c r="BD261" s="202">
        <v>53</v>
      </c>
      <c r="BE261" s="202">
        <v>64</v>
      </c>
      <c r="BF261" s="202">
        <v>75</v>
      </c>
      <c r="BG261" s="202">
        <v>86</v>
      </c>
      <c r="BH261" s="202">
        <v>97</v>
      </c>
      <c r="BI261" s="202">
        <v>108</v>
      </c>
      <c r="BJ261" s="202">
        <v>120</v>
      </c>
      <c r="BK261" s="202">
        <v>131</v>
      </c>
    </row>
    <row r="262" spans="51:63" ht="15" hidden="1">
      <c r="AY262" s="196" t="s">
        <v>242</v>
      </c>
      <c r="AZ262" s="202">
        <v>143</v>
      </c>
      <c r="BA262" s="202">
        <v>154</v>
      </c>
      <c r="BB262" s="202">
        <v>166</v>
      </c>
      <c r="BC262" s="202">
        <v>177</v>
      </c>
      <c r="BD262" s="202">
        <v>189</v>
      </c>
      <c r="BE262" s="203">
        <v>201</v>
      </c>
      <c r="BF262" s="203">
        <v>213</v>
      </c>
      <c r="BG262" s="203">
        <v>225</v>
      </c>
      <c r="BH262" s="203">
        <v>237</v>
      </c>
      <c r="BI262" s="203">
        <v>249</v>
      </c>
      <c r="BJ262" s="203">
        <v>262</v>
      </c>
      <c r="BK262" s="203">
        <v>274</v>
      </c>
    </row>
    <row r="263" spans="51:63" ht="15" hidden="1">
      <c r="AY263" s="195" t="s">
        <v>314</v>
      </c>
      <c r="AZ263" s="203">
        <v>286</v>
      </c>
      <c r="BA263" s="203">
        <v>299</v>
      </c>
      <c r="BB263" s="203">
        <v>312</v>
      </c>
      <c r="BC263" s="203">
        <v>324</v>
      </c>
      <c r="BD263" s="203">
        <v>337</v>
      </c>
      <c r="BE263"/>
      <c r="BF263"/>
      <c r="BG263"/>
      <c r="BH263"/>
      <c r="BI263"/>
      <c r="BJ263"/>
      <c r="BK263"/>
    </row>
    <row r="264" spans="51:63" ht="15" hidden="1">
      <c r="AY264" s="92" t="s">
        <v>123</v>
      </c>
      <c r="AZ264" s="93" t="s">
        <v>116</v>
      </c>
      <c r="BA264" s="93" t="s">
        <v>117</v>
      </c>
      <c r="BB264" s="93" t="s">
        <v>118</v>
      </c>
      <c r="BC264" s="93" t="s">
        <v>124</v>
      </c>
      <c r="BD264" s="93" t="s">
        <v>125</v>
      </c>
      <c r="BE264" s="93" t="s">
        <v>126</v>
      </c>
      <c r="BF264" s="93" t="s">
        <v>119</v>
      </c>
      <c r="BG264" s="93" t="s">
        <v>120</v>
      </c>
      <c r="BH264" s="93" t="s">
        <v>121</v>
      </c>
      <c r="BI264" s="93" t="s">
        <v>122</v>
      </c>
      <c r="BJ264" s="93" t="s">
        <v>127</v>
      </c>
      <c r="BK264" s="93" t="s">
        <v>128</v>
      </c>
    </row>
    <row r="265" spans="51:63" ht="15" hidden="1">
      <c r="AY265" s="196" t="s">
        <v>242</v>
      </c>
      <c r="AZ265" s="202">
        <v>11</v>
      </c>
      <c r="BA265" s="202">
        <v>21</v>
      </c>
      <c r="BB265" s="202">
        <v>32</v>
      </c>
      <c r="BC265" s="202">
        <v>42</v>
      </c>
      <c r="BD265" s="202">
        <v>53</v>
      </c>
      <c r="BE265" s="203">
        <v>64</v>
      </c>
      <c r="BF265" s="203">
        <v>75</v>
      </c>
      <c r="BG265" s="203">
        <v>86</v>
      </c>
      <c r="BH265" s="203">
        <v>97</v>
      </c>
      <c r="BI265" s="203">
        <v>108</v>
      </c>
      <c r="BJ265" s="203">
        <v>120</v>
      </c>
      <c r="BK265" s="203">
        <v>131</v>
      </c>
    </row>
    <row r="266" spans="51:63" ht="15" hidden="1">
      <c r="AY266" s="195" t="s">
        <v>314</v>
      </c>
      <c r="AZ266" s="203">
        <v>143</v>
      </c>
      <c r="BA266" s="203">
        <v>154</v>
      </c>
      <c r="BB266" s="203">
        <v>166</v>
      </c>
      <c r="BC266" s="203">
        <v>177</v>
      </c>
      <c r="BD266" s="203">
        <v>189</v>
      </c>
      <c r="BE266"/>
      <c r="BF266"/>
      <c r="BG266"/>
      <c r="BH266"/>
      <c r="BI266"/>
      <c r="BJ266"/>
      <c r="BK266"/>
    </row>
    <row r="267" spans="51:63" ht="15" hidden="1">
      <c r="AY267" s="201" t="s">
        <v>123</v>
      </c>
      <c r="AZ267" s="201" t="s">
        <v>116</v>
      </c>
      <c r="BA267" s="201" t="s">
        <v>117</v>
      </c>
      <c r="BB267" s="201" t="s">
        <v>118</v>
      </c>
      <c r="BC267" s="201" t="s">
        <v>124</v>
      </c>
      <c r="BD267" s="201" t="s">
        <v>125</v>
      </c>
      <c r="BE267" s="201" t="s">
        <v>126</v>
      </c>
      <c r="BF267" s="201" t="s">
        <v>119</v>
      </c>
      <c r="BG267" s="201" t="s">
        <v>120</v>
      </c>
      <c r="BH267" s="201" t="s">
        <v>121</v>
      </c>
      <c r="BI267" s="201" t="s">
        <v>122</v>
      </c>
      <c r="BJ267" s="201" t="s">
        <v>127</v>
      </c>
      <c r="BK267" s="201" t="s">
        <v>128</v>
      </c>
    </row>
    <row r="268" spans="51:63" ht="15" hidden="1">
      <c r="AY268" s="195" t="s">
        <v>314</v>
      </c>
      <c r="AZ268" s="203">
        <v>11</v>
      </c>
      <c r="BA268" s="203">
        <v>21</v>
      </c>
      <c r="BB268" s="203">
        <v>32</v>
      </c>
      <c r="BC268" s="203">
        <v>42</v>
      </c>
      <c r="BD268" s="203">
        <v>53</v>
      </c>
      <c r="BE268"/>
      <c r="BF268"/>
      <c r="BG268"/>
      <c r="BH268"/>
      <c r="BI268"/>
      <c r="BJ268"/>
      <c r="BK268"/>
    </row>
  </sheetData>
  <sheetProtection password="D590" sheet="1" selectLockedCells="1"/>
  <mergeCells count="8">
    <mergeCell ref="G32:J32"/>
    <mergeCell ref="G33:J33"/>
    <mergeCell ref="B2:J2"/>
    <mergeCell ref="B24:I24"/>
    <mergeCell ref="AE2:AF2"/>
    <mergeCell ref="AB2:AC2"/>
    <mergeCell ref="Z8:AA8"/>
    <mergeCell ref="B14:H14"/>
  </mergeCells>
  <conditionalFormatting sqref="B22:J22">
    <cfRule type="expression" priority="14" dxfId="12" stopIfTrue="1">
      <formula>$J$22=0</formula>
    </cfRule>
  </conditionalFormatting>
  <conditionalFormatting sqref="B11:J11">
    <cfRule type="expression" priority="5" dxfId="12" stopIfTrue="1">
      <formula>$J$11=0</formula>
    </cfRule>
  </conditionalFormatting>
  <conditionalFormatting sqref="B12:J12">
    <cfRule type="expression" priority="4" dxfId="12" stopIfTrue="1">
      <formula>$J$12=0</formula>
    </cfRule>
  </conditionalFormatting>
  <conditionalFormatting sqref="B13:J13">
    <cfRule type="expression" priority="3" dxfId="12" stopIfTrue="1">
      <formula>$J$13=0</formula>
    </cfRule>
  </conditionalFormatting>
  <conditionalFormatting sqref="B20:J20">
    <cfRule type="expression" priority="2" dxfId="12" stopIfTrue="1">
      <formula>$J$20=0</formula>
    </cfRule>
  </conditionalFormatting>
  <conditionalFormatting sqref="B21:J21">
    <cfRule type="expression" priority="1" dxfId="12" stopIfTrue="1">
      <formula>$J$21=0</formula>
    </cfRule>
  </conditionalFormatting>
  <printOptions horizontalCentered="1" verticalCentered="1"/>
  <pageMargins left="0.42" right="0.42" top="0.37" bottom="0.37" header="0.26"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4"/>
  <dimension ref="A1:I31"/>
  <sheetViews>
    <sheetView showGridLines="0" showRowColHeaders="0" zoomScalePageLayoutView="0" workbookViewId="0" topLeftCell="A1">
      <selection activeCell="D8" sqref="D8:G8"/>
    </sheetView>
  </sheetViews>
  <sheetFormatPr defaultColWidth="0" defaultRowHeight="15" zeroHeight="1"/>
  <cols>
    <col min="1" max="1" width="4.140625" style="272" customWidth="1"/>
    <col min="2" max="2" width="4.140625" style="85" customWidth="1"/>
    <col min="3" max="3" width="3.7109375" style="85" customWidth="1"/>
    <col min="4" max="4" width="3.57421875" style="85" customWidth="1"/>
    <col min="5" max="5" width="29.7109375" style="85" customWidth="1"/>
    <col min="6" max="6" width="23.140625" style="85" customWidth="1"/>
    <col min="7" max="7" width="19.7109375" style="85" customWidth="1"/>
    <col min="8" max="8" width="4.00390625" style="272" customWidth="1"/>
    <col min="9" max="9" width="17.00390625" style="85" customWidth="1"/>
    <col min="10" max="16384" width="9.140625" style="85" hidden="1" customWidth="1"/>
  </cols>
  <sheetData>
    <row r="1" s="272" customFormat="1" ht="15">
      <c r="I1" s="352"/>
    </row>
    <row r="2" spans="2:9" ht="30" customHeight="1">
      <c r="B2" s="443" t="s">
        <v>248</v>
      </c>
      <c r="C2" s="443"/>
      <c r="D2" s="443"/>
      <c r="E2" s="443"/>
      <c r="F2" s="443"/>
      <c r="G2" s="443"/>
      <c r="I2" s="352"/>
    </row>
    <row r="3" spans="2:9" ht="20.25" customHeight="1">
      <c r="B3" s="444" t="s">
        <v>306</v>
      </c>
      <c r="C3" s="445"/>
      <c r="D3" s="445"/>
      <c r="E3" s="445"/>
      <c r="F3" s="445"/>
      <c r="G3" s="445"/>
      <c r="I3" s="352"/>
    </row>
    <row r="4" spans="2:9" ht="29.25" customHeight="1">
      <c r="B4" s="85" t="s">
        <v>249</v>
      </c>
      <c r="F4" s="145">
        <f>'Calculation sheet'!G28</f>
        <v>16302</v>
      </c>
      <c r="I4" s="352"/>
    </row>
    <row r="5" spans="2:9" ht="24" customHeight="1">
      <c r="B5" s="85" t="s">
        <v>259</v>
      </c>
      <c r="F5" s="145">
        <f>'Calculation sheet'!G27</f>
        <v>11487</v>
      </c>
      <c r="I5" s="352"/>
    </row>
    <row r="6" spans="2:9" ht="24" customHeight="1">
      <c r="B6" s="85" t="s">
        <v>250</v>
      </c>
      <c r="F6" s="145">
        <f>'Calculation sheet'!G26</f>
        <v>4815</v>
      </c>
      <c r="I6" s="352"/>
    </row>
    <row r="7" ht="18.75" customHeight="1">
      <c r="I7" s="352"/>
    </row>
    <row r="8" spans="2:9" ht="24" customHeight="1">
      <c r="B8" s="85" t="s">
        <v>260</v>
      </c>
      <c r="C8" s="89"/>
      <c r="D8" s="439" t="str">
        <f>CONCATENATE('Calculation sheet'!B118,")")</f>
        <v>Sixteen thousand Three hundred Two only)</v>
      </c>
      <c r="E8" s="439"/>
      <c r="F8" s="439"/>
      <c r="G8" s="439"/>
      <c r="I8" s="352"/>
    </row>
    <row r="9" spans="2:9" ht="42" customHeight="1">
      <c r="B9" s="446" t="s">
        <v>258</v>
      </c>
      <c r="C9" s="446"/>
      <c r="D9" s="446"/>
      <c r="E9" s="446"/>
      <c r="F9" s="446"/>
      <c r="G9" s="446"/>
      <c r="I9" s="352"/>
    </row>
    <row r="10" spans="2:9" ht="25.5" customHeight="1">
      <c r="B10" s="114" t="s">
        <v>266</v>
      </c>
      <c r="C10" s="447" t="s">
        <v>251</v>
      </c>
      <c r="D10" s="447"/>
      <c r="E10" s="447"/>
      <c r="F10" s="440" t="str">
        <f>Data!D4</f>
        <v>Bandi Babji</v>
      </c>
      <c r="G10" s="440"/>
      <c r="I10" s="352"/>
    </row>
    <row r="11" spans="2:9" ht="36.75" customHeight="1">
      <c r="B11" s="114" t="s">
        <v>267</v>
      </c>
      <c r="C11" s="447" t="s">
        <v>305</v>
      </c>
      <c r="D11" s="447"/>
      <c r="E11" s="447"/>
      <c r="F11" s="440" t="str">
        <f>Data!D5</f>
        <v>Driver</v>
      </c>
      <c r="G11" s="440"/>
      <c r="I11" s="352"/>
    </row>
    <row r="12" spans="2:9" ht="31.5" customHeight="1">
      <c r="B12" s="114" t="s">
        <v>268</v>
      </c>
      <c r="C12" s="447" t="s">
        <v>252</v>
      </c>
      <c r="D12" s="447"/>
      <c r="E12" s="447"/>
      <c r="F12" s="448" t="str">
        <f>"Group - "&amp;'Calculation sheet'!T14</f>
        <v>Group - C</v>
      </c>
      <c r="G12" s="448"/>
      <c r="I12" s="352"/>
    </row>
    <row r="13" spans="2:9" ht="32.25" customHeight="1">
      <c r="B13" s="114" t="s">
        <v>269</v>
      </c>
      <c r="C13" s="447" t="s">
        <v>253</v>
      </c>
      <c r="D13" s="447"/>
      <c r="E13" s="447"/>
      <c r="I13" s="352"/>
    </row>
    <row r="14" spans="3:9" ht="19.5" customHeight="1">
      <c r="C14" s="115" t="s">
        <v>266</v>
      </c>
      <c r="D14" s="441"/>
      <c r="E14" s="441"/>
      <c r="F14" s="441"/>
      <c r="G14" s="441"/>
      <c r="I14" s="352"/>
    </row>
    <row r="15" spans="3:9" ht="19.5" customHeight="1">
      <c r="C15" s="115" t="s">
        <v>267</v>
      </c>
      <c r="D15" s="441"/>
      <c r="E15" s="441"/>
      <c r="F15" s="441"/>
      <c r="G15" s="441"/>
      <c r="I15" s="352"/>
    </row>
    <row r="16" spans="3:9" ht="19.5" customHeight="1">
      <c r="C16" s="115" t="s">
        <v>268</v>
      </c>
      <c r="D16" s="441"/>
      <c r="E16" s="441"/>
      <c r="F16" s="441"/>
      <c r="G16" s="441"/>
      <c r="I16" s="352"/>
    </row>
    <row r="17" spans="2:9" ht="24" customHeight="1">
      <c r="B17" s="115">
        <v>5</v>
      </c>
      <c r="C17" s="85" t="s">
        <v>254</v>
      </c>
      <c r="I17" s="352"/>
    </row>
    <row r="18" spans="3:9" ht="48" customHeight="1">
      <c r="C18" s="438" t="s">
        <v>270</v>
      </c>
      <c r="D18" s="438"/>
      <c r="E18" s="438"/>
      <c r="F18" s="146">
        <f>Data!B13</f>
        <v>30987</v>
      </c>
      <c r="G18" s="147" t="str">
        <f>"&amp;           Group - "&amp;'Calculation sheet'!T10</f>
        <v>&amp;           Group - D</v>
      </c>
      <c r="I18" s="352"/>
    </row>
    <row r="19" spans="3:9" ht="34.5" customHeight="1">
      <c r="C19" s="438" t="s">
        <v>261</v>
      </c>
      <c r="D19" s="438"/>
      <c r="E19" s="438"/>
      <c r="I19" s="352"/>
    </row>
    <row r="20" spans="4:9" ht="23.25" customHeight="1">
      <c r="D20" s="85" t="s">
        <v>262</v>
      </c>
      <c r="F20" s="148" t="s">
        <v>271</v>
      </c>
      <c r="G20" s="148">
        <f>IF(F20='Calculation sheet'!T10,"---",LOOKUP(2,'Calculation sheet'!S10:S13,'Calculation sheet'!R10:R13))</f>
        <v>1998</v>
      </c>
      <c r="I20" s="352"/>
    </row>
    <row r="21" spans="4:9" ht="23.25" customHeight="1">
      <c r="D21" s="85" t="s">
        <v>263</v>
      </c>
      <c r="F21" s="148" t="s">
        <v>272</v>
      </c>
      <c r="G21" s="148" t="str">
        <f>IF(F21='Calculation sheet'!T10,"---",LOOKUP(4,'Calculation sheet'!S10:S13,'Calculation sheet'!R10:R13))</f>
        <v>---</v>
      </c>
      <c r="I21" s="352"/>
    </row>
    <row r="22" spans="4:9" ht="23.25" customHeight="1">
      <c r="D22" s="85" t="s">
        <v>264</v>
      </c>
      <c r="F22" s="148" t="s">
        <v>273</v>
      </c>
      <c r="G22" s="148" t="str">
        <f>IF(F22='Calculation sheet'!T10,"---",LOOKUP(8,'Calculation sheet'!S10:S13,'Calculation sheet'!R10:R13))</f>
        <v>---</v>
      </c>
      <c r="I22" s="352"/>
    </row>
    <row r="23" spans="1:9" s="101" customFormat="1" ht="24" customHeight="1">
      <c r="A23" s="314"/>
      <c r="C23" s="101" t="s">
        <v>304</v>
      </c>
      <c r="G23" s="149" t="str">
        <f>Data!I39</f>
        <v>31-8-2012</v>
      </c>
      <c r="H23" s="314"/>
      <c r="I23" s="353"/>
    </row>
    <row r="24" spans="2:9" ht="18" customHeight="1">
      <c r="B24" s="442" t="s">
        <v>265</v>
      </c>
      <c r="C24" s="442"/>
      <c r="D24" s="442"/>
      <c r="E24" s="442"/>
      <c r="F24" s="442"/>
      <c r="G24" s="442"/>
      <c r="H24" s="319"/>
      <c r="I24" s="352"/>
    </row>
    <row r="25" spans="2:9" ht="18" customHeight="1">
      <c r="B25" s="442"/>
      <c r="C25" s="442"/>
      <c r="D25" s="442"/>
      <c r="E25" s="442"/>
      <c r="F25" s="442"/>
      <c r="G25" s="442"/>
      <c r="H25" s="319"/>
      <c r="I25" s="352"/>
    </row>
    <row r="26" spans="2:9" ht="15.75" customHeight="1">
      <c r="B26" s="442"/>
      <c r="C26" s="442"/>
      <c r="D26" s="442"/>
      <c r="E26" s="442"/>
      <c r="F26" s="442"/>
      <c r="G26" s="442"/>
      <c r="H26" s="319"/>
      <c r="I26" s="352"/>
    </row>
    <row r="27" ht="24" customHeight="1">
      <c r="I27" s="352"/>
    </row>
    <row r="28" spans="6:9" ht="18.75" customHeight="1">
      <c r="F28" s="99" t="s">
        <v>255</v>
      </c>
      <c r="I28" s="352"/>
    </row>
    <row r="29" spans="6:9" ht="18.75" customHeight="1">
      <c r="F29" s="85" t="s">
        <v>256</v>
      </c>
      <c r="I29" s="352"/>
    </row>
    <row r="30" spans="6:9" ht="18.75" customHeight="1">
      <c r="F30" s="85" t="s">
        <v>257</v>
      </c>
      <c r="I30" s="352"/>
    </row>
    <row r="31" s="272" customFormat="1" ht="24" customHeight="1">
      <c r="I31" s="352"/>
    </row>
    <row r="32" ht="24" customHeight="1" hidden="1"/>
    <row r="33" ht="24" customHeight="1" hidden="1"/>
    <row r="34" ht="24" customHeight="1" hidden="1"/>
  </sheetData>
  <sheetProtection password="D590" sheet="1" objects="1" scenarios="1" selectLockedCells="1"/>
  <mergeCells count="17">
    <mergeCell ref="B24:G26"/>
    <mergeCell ref="B2:G2"/>
    <mergeCell ref="B3:G3"/>
    <mergeCell ref="B9:G9"/>
    <mergeCell ref="C10:E10"/>
    <mergeCell ref="C11:E11"/>
    <mergeCell ref="C12:E12"/>
    <mergeCell ref="F12:G12"/>
    <mergeCell ref="C13:E13"/>
    <mergeCell ref="C18:E18"/>
    <mergeCell ref="C19:E19"/>
    <mergeCell ref="D8:G8"/>
    <mergeCell ref="F10:G10"/>
    <mergeCell ref="F11:G11"/>
    <mergeCell ref="D14:G14"/>
    <mergeCell ref="D15:G15"/>
    <mergeCell ref="D16:G1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G21"/>
  <sheetViews>
    <sheetView showGridLines="0" showRowColHeaders="0" zoomScalePageLayoutView="0" workbookViewId="0" topLeftCell="A1">
      <selection activeCell="G5" sqref="G5"/>
    </sheetView>
  </sheetViews>
  <sheetFormatPr defaultColWidth="0" defaultRowHeight="15" zeroHeight="1"/>
  <cols>
    <col min="1" max="1" width="5.421875" style="272" customWidth="1"/>
    <col min="2" max="2" width="9.140625" style="85" customWidth="1"/>
    <col min="3" max="3" width="31.7109375" style="85" customWidth="1"/>
    <col min="4" max="4" width="33.140625" style="85" customWidth="1"/>
    <col min="5" max="5" width="14.8515625" style="85" customWidth="1"/>
    <col min="6" max="6" width="5.8515625" style="272" customWidth="1"/>
    <col min="7" max="7" width="16.8515625" style="352" customWidth="1"/>
    <col min="8" max="16384" width="9.140625" style="85" hidden="1" customWidth="1"/>
  </cols>
  <sheetData>
    <row r="1" s="272" customFormat="1" ht="22.5" customHeight="1" thickBot="1">
      <c r="G1" s="352"/>
    </row>
    <row r="2" spans="1:7" s="101" customFormat="1" ht="23.25">
      <c r="A2" s="314"/>
      <c r="B2" s="320"/>
      <c r="C2" s="451" t="s">
        <v>274</v>
      </c>
      <c r="D2" s="451"/>
      <c r="E2" s="321"/>
      <c r="F2" s="314"/>
      <c r="G2" s="353"/>
    </row>
    <row r="3" spans="1:7" s="116" customFormat="1" ht="45.75" customHeight="1">
      <c r="A3" s="336"/>
      <c r="B3" s="322" t="s">
        <v>275</v>
      </c>
      <c r="C3" s="250"/>
      <c r="D3" s="250"/>
      <c r="E3" s="323"/>
      <c r="F3" s="336"/>
      <c r="G3" s="363"/>
    </row>
    <row r="4" spans="1:7" s="101" customFormat="1" ht="35.25" customHeight="1">
      <c r="A4" s="314"/>
      <c r="B4" s="324"/>
      <c r="C4" s="325" t="s">
        <v>276</v>
      </c>
      <c r="D4" s="326"/>
      <c r="E4" s="327" t="s">
        <v>285</v>
      </c>
      <c r="F4" s="314"/>
      <c r="G4" s="353"/>
    </row>
    <row r="5" spans="2:5" ht="63">
      <c r="B5" s="328" t="s">
        <v>266</v>
      </c>
      <c r="C5" s="329" t="s">
        <v>277</v>
      </c>
      <c r="D5" s="89"/>
      <c r="E5" s="226"/>
    </row>
    <row r="6" spans="2:5" ht="27" customHeight="1">
      <c r="B6" s="330"/>
      <c r="C6" s="227"/>
      <c r="D6" s="89"/>
      <c r="E6" s="226"/>
    </row>
    <row r="7" spans="2:5" ht="15.75">
      <c r="B7" s="330"/>
      <c r="C7" s="227" t="s">
        <v>278</v>
      </c>
      <c r="D7" s="89"/>
      <c r="E7" s="226"/>
    </row>
    <row r="8" spans="2:5" ht="15.75">
      <c r="B8" s="330"/>
      <c r="C8" s="227" t="s">
        <v>279</v>
      </c>
      <c r="D8" s="89"/>
      <c r="E8" s="226"/>
    </row>
    <row r="9" spans="2:5" ht="27" customHeight="1">
      <c r="B9" s="330"/>
      <c r="C9" s="227"/>
      <c r="D9" s="89"/>
      <c r="E9" s="226"/>
    </row>
    <row r="10" spans="2:5" ht="63">
      <c r="B10" s="328" t="s">
        <v>267</v>
      </c>
      <c r="C10" s="329" t="s">
        <v>277</v>
      </c>
      <c r="D10" s="89"/>
      <c r="E10" s="226"/>
    </row>
    <row r="11" spans="2:5" ht="27" customHeight="1">
      <c r="B11" s="225"/>
      <c r="C11" s="227"/>
      <c r="D11" s="89"/>
      <c r="E11" s="226"/>
    </row>
    <row r="12" spans="2:5" ht="15.75">
      <c r="B12" s="225"/>
      <c r="C12" s="227" t="s">
        <v>280</v>
      </c>
      <c r="D12" s="89"/>
      <c r="E12" s="226"/>
    </row>
    <row r="13" spans="2:5" ht="15.75">
      <c r="B13" s="225"/>
      <c r="C13" s="227" t="s">
        <v>279</v>
      </c>
      <c r="D13" s="89"/>
      <c r="E13" s="226"/>
    </row>
    <row r="14" spans="2:5" ht="15">
      <c r="B14" s="225"/>
      <c r="C14" s="89"/>
      <c r="D14" s="89"/>
      <c r="E14" s="226"/>
    </row>
    <row r="15" spans="2:5" ht="37.5" customHeight="1">
      <c r="B15" s="225"/>
      <c r="C15" s="331" t="s">
        <v>281</v>
      </c>
      <c r="D15" s="227"/>
      <c r="E15" s="226"/>
    </row>
    <row r="16" spans="2:5" ht="15.75">
      <c r="B16" s="225"/>
      <c r="C16" s="227"/>
      <c r="D16" s="227"/>
      <c r="E16" s="226"/>
    </row>
    <row r="17" spans="2:5" ht="15.75">
      <c r="B17" s="225"/>
      <c r="C17" s="450" t="s">
        <v>282</v>
      </c>
      <c r="D17" s="450"/>
      <c r="E17" s="226"/>
    </row>
    <row r="18" spans="2:5" ht="15.75">
      <c r="B18" s="225"/>
      <c r="C18" s="449" t="s">
        <v>284</v>
      </c>
      <c r="D18" s="449"/>
      <c r="E18" s="226"/>
    </row>
    <row r="19" spans="2:5" ht="15.75">
      <c r="B19" s="225"/>
      <c r="C19" s="227"/>
      <c r="D19" s="227"/>
      <c r="E19" s="226"/>
    </row>
    <row r="20" spans="2:5" ht="16.5" thickBot="1">
      <c r="B20" s="332"/>
      <c r="C20" s="333" t="s">
        <v>283</v>
      </c>
      <c r="D20" s="334"/>
      <c r="E20" s="335"/>
    </row>
    <row r="21" s="272" customFormat="1" ht="21.75" customHeight="1">
      <c r="G21" s="352"/>
    </row>
    <row r="22" ht="15" hidden="1"/>
  </sheetData>
  <sheetProtection password="D590" sheet="1" objects="1" scenarios="1" selectLockedCells="1"/>
  <mergeCells count="3">
    <mergeCell ref="C18:D18"/>
    <mergeCell ref="C17:D17"/>
    <mergeCell ref="C2:D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B1:BI324"/>
  <sheetViews>
    <sheetView showGridLines="0" showRowColHeaders="0" zoomScaleSheetLayoutView="100" zoomScalePageLayoutView="0" workbookViewId="0" topLeftCell="A1">
      <selection activeCell="B14" sqref="B14:B36"/>
    </sheetView>
  </sheetViews>
  <sheetFormatPr defaultColWidth="0" defaultRowHeight="15" zeroHeight="1"/>
  <cols>
    <col min="1" max="1" width="4.57421875" style="262" customWidth="1"/>
    <col min="2" max="2" width="3.7109375" style="1" customWidth="1"/>
    <col min="3" max="3" width="4.140625" style="1" customWidth="1"/>
    <col min="4" max="4" width="4.00390625" style="1" customWidth="1"/>
    <col min="5" max="5" width="12.140625" style="1" customWidth="1"/>
    <col min="6" max="7" width="3.57421875" style="1" customWidth="1"/>
    <col min="8" max="8" width="1.421875" style="1" customWidth="1"/>
    <col min="9" max="12" width="3.7109375" style="1" customWidth="1"/>
    <col min="13" max="13" width="3.421875" style="1" customWidth="1"/>
    <col min="14" max="14" width="1.28515625" style="5" customWidth="1"/>
    <col min="15" max="15" width="16.421875" style="1" customWidth="1"/>
    <col min="16" max="19" width="4.00390625" style="1" customWidth="1"/>
    <col min="20" max="20" width="13.00390625" style="1" customWidth="1"/>
    <col min="21" max="21" width="1.1484375" style="1" customWidth="1"/>
    <col min="22" max="22" width="4.421875" style="1" customWidth="1"/>
    <col min="23" max="23" width="14.8515625" style="354" customWidth="1"/>
    <col min="24" max="24" width="4.140625" style="1" hidden="1" customWidth="1"/>
    <col min="25" max="25" width="9.140625" style="1" hidden="1" customWidth="1"/>
    <col min="26" max="26" width="22.8515625" style="1" hidden="1" customWidth="1"/>
    <col min="27" max="34" width="9.140625" style="1" hidden="1" customWidth="1"/>
    <col min="35" max="35" width="12.140625" style="1" hidden="1" customWidth="1"/>
    <col min="36" max="254" width="9.140625" style="1" hidden="1" customWidth="1"/>
    <col min="255" max="255" width="4.140625" style="1" hidden="1" customWidth="1"/>
    <col min="256" max="16384" width="4.00390625" style="1" hidden="1" customWidth="1"/>
  </cols>
  <sheetData>
    <row r="1" spans="2:22" ht="21.75" customHeight="1" thickBot="1">
      <c r="B1" s="262"/>
      <c r="C1" s="262"/>
      <c r="D1" s="262"/>
      <c r="E1" s="262"/>
      <c r="F1" s="262"/>
      <c r="G1" s="262"/>
      <c r="H1" s="262"/>
      <c r="I1" s="262"/>
      <c r="J1" s="262"/>
      <c r="K1" s="262"/>
      <c r="L1" s="262"/>
      <c r="M1" s="262"/>
      <c r="N1" s="263"/>
      <c r="O1" s="262"/>
      <c r="P1" s="262"/>
      <c r="Q1" s="262"/>
      <c r="R1" s="262"/>
      <c r="S1" s="262"/>
      <c r="T1" s="262"/>
      <c r="U1" s="262"/>
      <c r="V1" s="262"/>
    </row>
    <row r="2" spans="2:35" ht="14.25" customHeight="1">
      <c r="B2" s="232"/>
      <c r="C2" s="233"/>
      <c r="D2" s="233"/>
      <c r="E2" s="233"/>
      <c r="F2" s="233"/>
      <c r="G2" s="233"/>
      <c r="H2" s="233"/>
      <c r="I2" s="233"/>
      <c r="J2" s="233"/>
      <c r="K2" s="233" t="str">
        <f>"Payble at  "&amp;Data!C20</f>
        <v>Payble at  DTO, Kakinada</v>
      </c>
      <c r="L2" s="233"/>
      <c r="M2" s="233"/>
      <c r="N2" s="233"/>
      <c r="O2" s="233"/>
      <c r="P2" s="233"/>
      <c r="Q2" s="233"/>
      <c r="R2" s="233"/>
      <c r="S2" s="234"/>
      <c r="T2" s="234"/>
      <c r="U2" s="235"/>
      <c r="V2" s="262"/>
      <c r="AI2" s="1" t="s">
        <v>19</v>
      </c>
    </row>
    <row r="3" spans="2:22" ht="24.75" customHeight="1">
      <c r="B3" s="236"/>
      <c r="C3" s="475" t="s">
        <v>102</v>
      </c>
      <c r="D3" s="475"/>
      <c r="E3" s="475"/>
      <c r="F3" s="475"/>
      <c r="G3" s="475"/>
      <c r="H3" s="475"/>
      <c r="I3" s="475"/>
      <c r="J3" s="475"/>
      <c r="K3" s="475"/>
      <c r="L3" s="475"/>
      <c r="M3" s="475"/>
      <c r="N3" s="475"/>
      <c r="O3" s="475"/>
      <c r="P3" s="475"/>
      <c r="Q3" s="475"/>
      <c r="R3" s="475"/>
      <c r="S3" s="475"/>
      <c r="T3" s="475"/>
      <c r="U3" s="237"/>
      <c r="V3" s="262"/>
    </row>
    <row r="4" spans="2:22" ht="23.25" customHeight="1">
      <c r="B4" s="236"/>
      <c r="C4" s="476" t="s">
        <v>103</v>
      </c>
      <c r="D4" s="476"/>
      <c r="E4" s="476"/>
      <c r="F4" s="476"/>
      <c r="G4" s="476"/>
      <c r="H4" s="476"/>
      <c r="I4" s="476"/>
      <c r="J4" s="476"/>
      <c r="K4" s="476"/>
      <c r="L4" s="476"/>
      <c r="M4" s="476"/>
      <c r="N4" s="476"/>
      <c r="O4" s="476"/>
      <c r="P4" s="476"/>
      <c r="Q4" s="476"/>
      <c r="R4" s="476"/>
      <c r="S4" s="476"/>
      <c r="T4" s="476"/>
      <c r="U4" s="237"/>
      <c r="V4" s="262"/>
    </row>
    <row r="5" spans="2:22" ht="21.75" customHeight="1">
      <c r="B5" s="236"/>
      <c r="C5" s="14" t="s">
        <v>65</v>
      </c>
      <c r="D5" s="14"/>
      <c r="E5" s="57"/>
      <c r="F5" s="154" t="str">
        <f>IF(Data!F55&gt;9,LEFT(Data!F55,1),0)</f>
        <v>1</v>
      </c>
      <c r="G5" s="154" t="str">
        <f>RIGHT(Data!F55,1)</f>
        <v>2</v>
      </c>
      <c r="H5" s="155"/>
      <c r="I5" s="156" t="str">
        <f>LEFT(Data!G55,1)</f>
        <v>2</v>
      </c>
      <c r="J5" s="157" t="str">
        <f>RIGHT(LEFT(Data!G55,2),1)</f>
        <v>0</v>
      </c>
      <c r="K5" s="157" t="str">
        <f>LEFT(RIGHT(Data!G55,2),1)</f>
        <v>1</v>
      </c>
      <c r="L5" s="157" t="str">
        <f>RIGHT(Data!G55,1)</f>
        <v>3</v>
      </c>
      <c r="M5" s="57"/>
      <c r="N5" s="10"/>
      <c r="O5" s="238" t="s">
        <v>66</v>
      </c>
      <c r="P5" s="477" t="s">
        <v>244</v>
      </c>
      <c r="Q5" s="477"/>
      <c r="R5" s="477"/>
      <c r="S5" s="477"/>
      <c r="T5" s="477"/>
      <c r="U5" s="237"/>
      <c r="V5" s="262"/>
    </row>
    <row r="6" spans="2:22" ht="5.25" customHeight="1">
      <c r="B6" s="236"/>
      <c r="C6" s="14"/>
      <c r="D6" s="14"/>
      <c r="E6" s="57"/>
      <c r="F6" s="14"/>
      <c r="G6" s="14"/>
      <c r="H6" s="2"/>
      <c r="I6" s="30"/>
      <c r="J6" s="57"/>
      <c r="K6" s="57"/>
      <c r="L6" s="57"/>
      <c r="M6" s="57"/>
      <c r="N6" s="10"/>
      <c r="O6" s="57"/>
      <c r="P6" s="33"/>
      <c r="Q6" s="33"/>
      <c r="R6" s="33"/>
      <c r="S6" s="14"/>
      <c r="T6" s="14"/>
      <c r="U6" s="237"/>
      <c r="V6" s="262"/>
    </row>
    <row r="7" spans="2:22" ht="17.25" customHeight="1">
      <c r="B7" s="236"/>
      <c r="C7" s="14"/>
      <c r="D7" s="14"/>
      <c r="E7" s="14"/>
      <c r="F7" s="14"/>
      <c r="G7" s="14"/>
      <c r="H7" s="14"/>
      <c r="I7" s="14"/>
      <c r="J7" s="30"/>
      <c r="K7" s="30"/>
      <c r="L7" s="30"/>
      <c r="M7" s="30"/>
      <c r="N7" s="239"/>
      <c r="O7" s="40"/>
      <c r="P7" s="39"/>
      <c r="Q7" s="39"/>
      <c r="R7" s="41" t="s">
        <v>20</v>
      </c>
      <c r="S7" s="15"/>
      <c r="T7" s="15"/>
      <c r="U7" s="240"/>
      <c r="V7" s="262"/>
    </row>
    <row r="8" spans="2:30" ht="8.25" customHeight="1">
      <c r="B8" s="236"/>
      <c r="C8" s="37"/>
      <c r="D8" s="14"/>
      <c r="E8" s="14"/>
      <c r="F8" s="14"/>
      <c r="G8" s="14"/>
      <c r="H8" s="14"/>
      <c r="I8" s="14"/>
      <c r="J8" s="14"/>
      <c r="K8" s="14"/>
      <c r="L8" s="14"/>
      <c r="M8" s="4"/>
      <c r="N8" s="10"/>
      <c r="O8" s="6"/>
      <c r="P8" s="459"/>
      <c r="Q8" s="459"/>
      <c r="R8" s="14"/>
      <c r="S8" s="14"/>
      <c r="T8" s="14"/>
      <c r="U8" s="237"/>
      <c r="V8" s="262"/>
      <c r="AC8" s="8">
        <f>V14</f>
        <v>0</v>
      </c>
      <c r="AD8" s="9">
        <f>X14</f>
        <v>0</v>
      </c>
    </row>
    <row r="9" spans="2:26" ht="24" customHeight="1">
      <c r="B9" s="236"/>
      <c r="C9" s="38" t="s">
        <v>67</v>
      </c>
      <c r="D9" s="43"/>
      <c r="E9" s="478" t="str">
        <f>Data!C19</f>
        <v>East Godavari</v>
      </c>
      <c r="F9" s="478"/>
      <c r="G9" s="478"/>
      <c r="H9" s="478"/>
      <c r="I9" s="478"/>
      <c r="J9" s="478"/>
      <c r="K9" s="478"/>
      <c r="L9" s="478"/>
      <c r="M9" s="478"/>
      <c r="N9" s="10"/>
      <c r="O9" s="6" t="s">
        <v>21</v>
      </c>
      <c r="P9" s="14"/>
      <c r="Q9" s="14"/>
      <c r="R9" s="14"/>
      <c r="S9" s="14"/>
      <c r="T9" s="14"/>
      <c r="U9" s="237"/>
      <c r="V9" s="262"/>
      <c r="Z9" s="212" t="str">
        <f>Data!C26</f>
        <v>03010402001</v>
      </c>
    </row>
    <row r="10" spans="2:25" ht="5.25" customHeight="1">
      <c r="B10" s="236"/>
      <c r="C10" s="37"/>
      <c r="D10" s="241"/>
      <c r="E10" s="241"/>
      <c r="F10" s="242"/>
      <c r="G10" s="11"/>
      <c r="H10" s="11"/>
      <c r="I10" s="11"/>
      <c r="J10" s="11"/>
      <c r="K10" s="11"/>
      <c r="L10" s="11"/>
      <c r="M10" s="11"/>
      <c r="N10" s="10"/>
      <c r="O10" s="6"/>
      <c r="P10" s="10"/>
      <c r="Q10" s="10"/>
      <c r="R10" s="14"/>
      <c r="S10" s="14"/>
      <c r="T10" s="14"/>
      <c r="U10" s="237"/>
      <c r="V10" s="262"/>
      <c r="Y10" s="1" t="str">
        <f>LEFT(Z9,4)</f>
        <v>0301</v>
      </c>
    </row>
    <row r="11" spans="2:31" ht="25.5" customHeight="1">
      <c r="B11" s="236"/>
      <c r="C11" s="43" t="s">
        <v>69</v>
      </c>
      <c r="D11" s="43"/>
      <c r="E11" s="43"/>
      <c r="F11" s="43"/>
      <c r="G11" s="43"/>
      <c r="H11" s="43"/>
      <c r="I11" s="43"/>
      <c r="J11" s="479"/>
      <c r="K11" s="479"/>
      <c r="L11" s="479"/>
      <c r="M11" s="479"/>
      <c r="N11" s="10"/>
      <c r="O11" s="6" t="s">
        <v>23</v>
      </c>
      <c r="P11" s="480"/>
      <c r="Q11" s="481"/>
      <c r="R11" s="481"/>
      <c r="S11" s="481"/>
      <c r="T11" s="482"/>
      <c r="U11" s="237"/>
      <c r="V11" s="262"/>
      <c r="Y11" s="1" t="str">
        <f>LEFT(Y10,1)</f>
        <v>0</v>
      </c>
      <c r="Z11" s="1" t="str">
        <f>RIGHT(LEFT(Y10,2),1)</f>
        <v>3</v>
      </c>
      <c r="AA11" s="1" t="str">
        <f>LEFT(RIGHT(Y10,2),1)</f>
        <v>0</v>
      </c>
      <c r="AB11" s="1" t="str">
        <f>RIGHT(RIGHT(Y10,2),1)</f>
        <v>1</v>
      </c>
      <c r="AE11" s="1" t="str">
        <f>LEFT(Z11,1)</f>
        <v>3</v>
      </c>
    </row>
    <row r="12" spans="2:26" ht="12.75">
      <c r="B12" s="236"/>
      <c r="C12" s="14"/>
      <c r="D12" s="14"/>
      <c r="E12" s="14"/>
      <c r="F12" s="14"/>
      <c r="G12" s="14"/>
      <c r="H12" s="14"/>
      <c r="I12" s="14"/>
      <c r="J12" s="14"/>
      <c r="K12" s="14"/>
      <c r="L12" s="14"/>
      <c r="M12" s="14"/>
      <c r="N12" s="10"/>
      <c r="O12" s="12"/>
      <c r="P12" s="20"/>
      <c r="Q12" s="20"/>
      <c r="R12" s="20"/>
      <c r="S12" s="20"/>
      <c r="T12" s="20"/>
      <c r="U12" s="243"/>
      <c r="V12" s="262"/>
      <c r="Z12" s="1">
        <v>8011001070001000</v>
      </c>
    </row>
    <row r="13" spans="2:22" ht="6" customHeight="1">
      <c r="B13" s="236"/>
      <c r="C13" s="14"/>
      <c r="D13" s="14"/>
      <c r="E13" s="14"/>
      <c r="F13" s="14"/>
      <c r="G13" s="14"/>
      <c r="H13" s="14"/>
      <c r="I13" s="14"/>
      <c r="J13" s="10"/>
      <c r="K13" s="10"/>
      <c r="L13" s="10"/>
      <c r="M13" s="10"/>
      <c r="N13" s="10"/>
      <c r="O13" s="14"/>
      <c r="P13" s="14"/>
      <c r="Q13" s="14"/>
      <c r="R13" s="14"/>
      <c r="S13" s="14"/>
      <c r="T13" s="14"/>
      <c r="U13" s="237"/>
      <c r="V13" s="262"/>
    </row>
    <row r="14" spans="2:26" ht="15" customHeight="1">
      <c r="B14" s="452" t="str">
        <f>"Under Rupees "&amp;Y117</f>
        <v>Under Rupees Eleven thousand Four hundred Eighty Eight only</v>
      </c>
      <c r="C14" s="15"/>
      <c r="D14" s="15"/>
      <c r="E14" s="15"/>
      <c r="F14" s="15"/>
      <c r="G14" s="15"/>
      <c r="H14" s="15"/>
      <c r="I14" s="15"/>
      <c r="J14" s="15"/>
      <c r="K14" s="15"/>
      <c r="L14" s="15"/>
      <c r="M14" s="3"/>
      <c r="N14" s="34"/>
      <c r="O14" s="467" t="s">
        <v>28</v>
      </c>
      <c r="P14" s="467"/>
      <c r="Q14" s="15"/>
      <c r="R14" s="15"/>
      <c r="S14" s="15"/>
      <c r="T14" s="15"/>
      <c r="U14" s="240"/>
      <c r="V14" s="264"/>
      <c r="W14" s="355"/>
      <c r="X14" s="14"/>
      <c r="Z14" s="1" t="str">
        <f>LEFT(Z12,9)</f>
        <v>801100107</v>
      </c>
    </row>
    <row r="15" spans="2:24" ht="25.5" customHeight="1">
      <c r="B15" s="452"/>
      <c r="C15" s="468" t="s">
        <v>22</v>
      </c>
      <c r="D15" s="468"/>
      <c r="E15" s="468"/>
      <c r="F15" s="14"/>
      <c r="G15" s="14"/>
      <c r="H15" s="14"/>
      <c r="I15" s="154" t="str">
        <f>Y58</f>
        <v>0</v>
      </c>
      <c r="J15" s="154" t="str">
        <f>Z58</f>
        <v>3</v>
      </c>
      <c r="K15" s="154" t="str">
        <f>AA58</f>
        <v>0</v>
      </c>
      <c r="L15" s="154" t="str">
        <f>AB58</f>
        <v>1</v>
      </c>
      <c r="M15" s="7"/>
      <c r="N15" s="469"/>
      <c r="O15" s="21" t="s">
        <v>29</v>
      </c>
      <c r="P15" s="157">
        <v>8</v>
      </c>
      <c r="Q15" s="157">
        <v>0</v>
      </c>
      <c r="R15" s="157">
        <v>1</v>
      </c>
      <c r="S15" s="157">
        <v>1</v>
      </c>
      <c r="T15" s="56" t="s">
        <v>74</v>
      </c>
      <c r="U15" s="237"/>
      <c r="V15" s="265"/>
      <c r="W15" s="356"/>
      <c r="X15" s="23"/>
    </row>
    <row r="16" spans="2:27" ht="4.5" customHeight="1">
      <c r="B16" s="452"/>
      <c r="C16" s="14"/>
      <c r="D16" s="14"/>
      <c r="E16" s="14"/>
      <c r="F16" s="11"/>
      <c r="G16" s="11"/>
      <c r="H16" s="11"/>
      <c r="I16" s="11"/>
      <c r="J16" s="11"/>
      <c r="K16" s="11"/>
      <c r="L16" s="11"/>
      <c r="M16" s="18"/>
      <c r="N16" s="469"/>
      <c r="O16" s="16"/>
      <c r="P16" s="11"/>
      <c r="Q16" s="11"/>
      <c r="R16" s="11"/>
      <c r="S16" s="11"/>
      <c r="T16" s="11"/>
      <c r="U16" s="237"/>
      <c r="V16" s="266"/>
      <c r="W16" s="357"/>
      <c r="X16" s="17"/>
      <c r="Y16" s="1" t="str">
        <f>RIGHT(Z14,3)</f>
        <v>107</v>
      </c>
      <c r="Z16" s="1" t="str">
        <f>RIGHT(Z14,3)</f>
        <v>107</v>
      </c>
      <c r="AA16" s="1" t="str">
        <f>RIGHT(Z14,3)</f>
        <v>107</v>
      </c>
    </row>
    <row r="17" spans="2:24" ht="25.5" customHeight="1">
      <c r="B17" s="452"/>
      <c r="C17" s="14" t="s">
        <v>24</v>
      </c>
      <c r="D17" s="14"/>
      <c r="E17" s="14"/>
      <c r="F17" s="462" t="str">
        <f>Data!C26</f>
        <v>03010402001</v>
      </c>
      <c r="G17" s="463"/>
      <c r="H17" s="463"/>
      <c r="I17" s="463"/>
      <c r="J17" s="463"/>
      <c r="K17" s="463"/>
      <c r="L17" s="463"/>
      <c r="M17" s="24"/>
      <c r="N17" s="469"/>
      <c r="O17" s="21" t="s">
        <v>17</v>
      </c>
      <c r="P17" s="157">
        <v>0</v>
      </c>
      <c r="Q17" s="157">
        <v>0</v>
      </c>
      <c r="R17" s="11"/>
      <c r="S17" s="11"/>
      <c r="T17" s="11"/>
      <c r="U17" s="237"/>
      <c r="V17" s="267"/>
      <c r="W17" s="358"/>
      <c r="X17" s="25"/>
    </row>
    <row r="18" spans="2:27" ht="4.5" customHeight="1">
      <c r="B18" s="452"/>
      <c r="C18" s="37"/>
      <c r="D18" s="16"/>
      <c r="E18" s="16"/>
      <c r="F18" s="23"/>
      <c r="G18" s="23"/>
      <c r="H18" s="23"/>
      <c r="I18" s="23"/>
      <c r="J18" s="23"/>
      <c r="K18" s="23"/>
      <c r="L18" s="23"/>
      <c r="M18" s="47"/>
      <c r="N18" s="469"/>
      <c r="O18" s="16"/>
      <c r="P18" s="11"/>
      <c r="Q18" s="11"/>
      <c r="R18" s="11"/>
      <c r="S18" s="11"/>
      <c r="T18" s="11"/>
      <c r="U18" s="237"/>
      <c r="V18" s="266"/>
      <c r="W18" s="357"/>
      <c r="X18" s="17"/>
      <c r="Y18" s="1" t="str">
        <f>LEFT(Y16,1)</f>
        <v>1</v>
      </c>
      <c r="Z18" s="1" t="str">
        <f>LEFT(RIGHT(Z16,2),1)</f>
        <v>0</v>
      </c>
      <c r="AA18" s="1">
        <f>RIGHT(AA16,1)*1</f>
        <v>7</v>
      </c>
    </row>
    <row r="19" spans="2:28" ht="25.5" customHeight="1">
      <c r="B19" s="452"/>
      <c r="C19" s="14" t="s">
        <v>25</v>
      </c>
      <c r="D19" s="14"/>
      <c r="E19" s="14"/>
      <c r="F19" s="470" t="str">
        <f>Data!C22</f>
        <v>District Forest Officer</v>
      </c>
      <c r="G19" s="470"/>
      <c r="H19" s="470"/>
      <c r="I19" s="470"/>
      <c r="J19" s="470"/>
      <c r="K19" s="470"/>
      <c r="L19" s="470"/>
      <c r="M19" s="47"/>
      <c r="N19" s="469"/>
      <c r="O19" s="21" t="s">
        <v>11</v>
      </c>
      <c r="P19" s="157">
        <v>1</v>
      </c>
      <c r="Q19" s="157">
        <v>0</v>
      </c>
      <c r="R19" s="157">
        <v>7</v>
      </c>
      <c r="S19" s="11"/>
      <c r="T19" s="244" t="s">
        <v>228</v>
      </c>
      <c r="U19" s="237"/>
      <c r="V19" s="268"/>
      <c r="W19" s="359"/>
      <c r="X19" s="31"/>
      <c r="AB19" s="61" t="s">
        <v>158</v>
      </c>
    </row>
    <row r="20" spans="2:26" ht="4.5" customHeight="1">
      <c r="B20" s="452"/>
      <c r="C20" s="37"/>
      <c r="D20" s="16"/>
      <c r="E20" s="16"/>
      <c r="F20" s="23"/>
      <c r="G20" s="23"/>
      <c r="H20" s="23"/>
      <c r="I20" s="23"/>
      <c r="J20" s="23"/>
      <c r="K20" s="23"/>
      <c r="L20" s="23"/>
      <c r="M20" s="47"/>
      <c r="N20" s="469"/>
      <c r="O20" s="16"/>
      <c r="P20" s="11"/>
      <c r="Q20" s="11"/>
      <c r="R20" s="11"/>
      <c r="S20" s="11"/>
      <c r="T20" s="11"/>
      <c r="U20" s="237"/>
      <c r="V20" s="268"/>
      <c r="W20" s="359"/>
      <c r="X20" s="31"/>
      <c r="Z20" s="1" t="str">
        <f>LEFT(Z14,6)</f>
        <v>801100</v>
      </c>
    </row>
    <row r="21" spans="2:24" ht="27" customHeight="1">
      <c r="B21" s="452"/>
      <c r="C21" s="14" t="s">
        <v>26</v>
      </c>
      <c r="D21" s="21"/>
      <c r="E21" s="21"/>
      <c r="F21" s="461" t="str">
        <f>Data!C23</f>
        <v>Kakinada Division, Kakinada</v>
      </c>
      <c r="G21" s="461"/>
      <c r="H21" s="461"/>
      <c r="I21" s="461"/>
      <c r="J21" s="461"/>
      <c r="K21" s="461"/>
      <c r="L21" s="461"/>
      <c r="M21" s="24"/>
      <c r="N21" s="49"/>
      <c r="O21" s="16" t="s">
        <v>30</v>
      </c>
      <c r="P21" s="157">
        <v>0</v>
      </c>
      <c r="Q21" s="157">
        <v>0</v>
      </c>
      <c r="R21" s="11"/>
      <c r="S21" s="11"/>
      <c r="T21" s="11"/>
      <c r="U21" s="237"/>
      <c r="V21" s="267"/>
      <c r="W21" s="358"/>
      <c r="X21" s="25"/>
    </row>
    <row r="22" spans="2:26" ht="4.5" customHeight="1">
      <c r="B22" s="452"/>
      <c r="C22" s="37"/>
      <c r="D22" s="16"/>
      <c r="E22" s="16"/>
      <c r="F22" s="23"/>
      <c r="G22" s="23"/>
      <c r="H22" s="23"/>
      <c r="I22" s="23"/>
      <c r="J22" s="23"/>
      <c r="K22" s="23"/>
      <c r="L22" s="23"/>
      <c r="M22" s="47"/>
      <c r="N22" s="49"/>
      <c r="O22" s="14"/>
      <c r="P22" s="11"/>
      <c r="Q22" s="11"/>
      <c r="R22" s="11"/>
      <c r="S22" s="11"/>
      <c r="T22" s="11"/>
      <c r="U22" s="237"/>
      <c r="V22" s="266"/>
      <c r="W22" s="357"/>
      <c r="X22" s="17"/>
      <c r="Y22" s="1" t="str">
        <f>LEFT(RIGHT(Z20,2),1)</f>
        <v>0</v>
      </c>
      <c r="Z22" s="1" t="str">
        <f>RIGHT(RIGHT(Z20,2),1)</f>
        <v>0</v>
      </c>
    </row>
    <row r="23" spans="2:24" ht="25.5" customHeight="1">
      <c r="B23" s="452"/>
      <c r="C23" s="14" t="s">
        <v>27</v>
      </c>
      <c r="D23" s="14"/>
      <c r="E23" s="14"/>
      <c r="F23" s="462" t="str">
        <f>Data!C28</f>
        <v>01425</v>
      </c>
      <c r="G23" s="463"/>
      <c r="H23" s="463"/>
      <c r="I23" s="463"/>
      <c r="J23" s="463"/>
      <c r="K23" s="463"/>
      <c r="L23" s="463"/>
      <c r="M23" s="48"/>
      <c r="N23" s="49"/>
      <c r="O23" s="16" t="s">
        <v>16</v>
      </c>
      <c r="P23" s="157">
        <v>0</v>
      </c>
      <c r="Q23" s="157">
        <v>1</v>
      </c>
      <c r="R23" s="11"/>
      <c r="S23" s="11"/>
      <c r="T23" s="11" t="s">
        <v>227</v>
      </c>
      <c r="U23" s="237"/>
      <c r="V23" s="269"/>
      <c r="W23" s="360"/>
      <c r="X23" s="32"/>
    </row>
    <row r="24" spans="2:24" ht="4.5" customHeight="1">
      <c r="B24" s="452"/>
      <c r="C24" s="14"/>
      <c r="D24" s="14"/>
      <c r="E24" s="42"/>
      <c r="F24" s="11"/>
      <c r="G24" s="11"/>
      <c r="H24" s="11"/>
      <c r="I24" s="11"/>
      <c r="J24" s="11"/>
      <c r="K24" s="11"/>
      <c r="L24" s="11"/>
      <c r="M24" s="18"/>
      <c r="N24" s="49"/>
      <c r="O24" s="14"/>
      <c r="P24" s="11"/>
      <c r="Q24" s="11"/>
      <c r="R24" s="11"/>
      <c r="S24" s="11"/>
      <c r="T24" s="11"/>
      <c r="U24" s="237"/>
      <c r="V24" s="266"/>
      <c r="W24" s="357"/>
      <c r="X24" s="17"/>
    </row>
    <row r="25" spans="2:24" ht="25.5" customHeight="1">
      <c r="B25" s="452"/>
      <c r="C25" s="43" t="s">
        <v>70</v>
      </c>
      <c r="D25" s="43"/>
      <c r="E25" s="44"/>
      <c r="F25" s="483" t="str">
        <f>Data!C29</f>
        <v>SBI, Try. Branch, Kakinada</v>
      </c>
      <c r="G25" s="483"/>
      <c r="H25" s="483"/>
      <c r="I25" s="483"/>
      <c r="J25" s="483"/>
      <c r="K25" s="483"/>
      <c r="L25" s="483"/>
      <c r="M25" s="24"/>
      <c r="N25" s="50"/>
      <c r="O25" s="16" t="s">
        <v>15</v>
      </c>
      <c r="P25" s="157">
        <v>0</v>
      </c>
      <c r="Q25" s="157">
        <v>0</v>
      </c>
      <c r="R25" s="157">
        <v>0</v>
      </c>
      <c r="S25" s="11"/>
      <c r="U25" s="237"/>
      <c r="V25" s="267"/>
      <c r="W25" s="358"/>
      <c r="X25" s="25"/>
    </row>
    <row r="26" spans="2:24" ht="4.5" customHeight="1">
      <c r="B26" s="452"/>
      <c r="C26" s="37"/>
      <c r="D26" s="14"/>
      <c r="E26" s="10"/>
      <c r="F26" s="10"/>
      <c r="G26" s="10"/>
      <c r="H26" s="10"/>
      <c r="I26" s="10"/>
      <c r="J26" s="10"/>
      <c r="K26" s="10"/>
      <c r="L26" s="10"/>
      <c r="M26" s="26"/>
      <c r="N26" s="50"/>
      <c r="O26" s="14"/>
      <c r="P26" s="13"/>
      <c r="Q26" s="13"/>
      <c r="R26" s="13"/>
      <c r="S26" s="10"/>
      <c r="T26" s="10"/>
      <c r="U26" s="245"/>
      <c r="V26" s="270"/>
      <c r="W26" s="361"/>
      <c r="X26" s="10"/>
    </row>
    <row r="27" spans="2:24" ht="25.5" customHeight="1">
      <c r="B27" s="452"/>
      <c r="C27" s="37"/>
      <c r="D27" s="14"/>
      <c r="E27" s="10"/>
      <c r="F27" s="10"/>
      <c r="G27" s="10"/>
      <c r="H27" s="10"/>
      <c r="I27" s="10"/>
      <c r="J27" s="10"/>
      <c r="K27" s="10"/>
      <c r="L27" s="10"/>
      <c r="M27" s="26"/>
      <c r="N27" s="50"/>
      <c r="O27" s="16" t="s">
        <v>68</v>
      </c>
      <c r="P27" s="157">
        <v>0</v>
      </c>
      <c r="Q27" s="157">
        <v>0</v>
      </c>
      <c r="R27" s="157">
        <v>2</v>
      </c>
      <c r="S27" s="19"/>
      <c r="T27" s="11" t="s">
        <v>7</v>
      </c>
      <c r="U27" s="245"/>
      <c r="V27" s="270"/>
      <c r="W27" s="361"/>
      <c r="X27" s="10"/>
    </row>
    <row r="28" spans="2:22" ht="4.5" customHeight="1">
      <c r="B28" s="452"/>
      <c r="C28" s="46"/>
      <c r="D28" s="20"/>
      <c r="E28" s="20"/>
      <c r="F28" s="20"/>
      <c r="G28" s="20"/>
      <c r="H28" s="20"/>
      <c r="I28" s="20"/>
      <c r="J28" s="20"/>
      <c r="K28" s="20"/>
      <c r="L28" s="20"/>
      <c r="M28" s="20"/>
      <c r="N28" s="35"/>
      <c r="O28" s="20"/>
      <c r="P28" s="20"/>
      <c r="Q28" s="20"/>
      <c r="R28" s="20"/>
      <c r="S28" s="20"/>
      <c r="T28" s="20"/>
      <c r="U28" s="243"/>
      <c r="V28" s="262"/>
    </row>
    <row r="29" spans="2:22" ht="4.5" customHeight="1">
      <c r="B29" s="452"/>
      <c r="C29" s="37"/>
      <c r="D29" s="14"/>
      <c r="E29" s="14"/>
      <c r="F29" s="20"/>
      <c r="G29" s="14"/>
      <c r="H29" s="14"/>
      <c r="I29" s="14"/>
      <c r="J29" s="14"/>
      <c r="K29" s="14"/>
      <c r="L29" s="14"/>
      <c r="M29" s="36"/>
      <c r="N29" s="10"/>
      <c r="O29" s="14"/>
      <c r="P29" s="14"/>
      <c r="Q29" s="14"/>
      <c r="R29" s="20"/>
      <c r="S29" s="14"/>
      <c r="T29" s="14"/>
      <c r="U29" s="237"/>
      <c r="V29" s="262"/>
    </row>
    <row r="30" spans="2:31" ht="24.75" customHeight="1">
      <c r="B30" s="452"/>
      <c r="C30" s="14" t="s">
        <v>75</v>
      </c>
      <c r="D30" s="14"/>
      <c r="E30" s="7"/>
      <c r="F30" s="45" t="s">
        <v>31</v>
      </c>
      <c r="G30" s="472" t="s">
        <v>76</v>
      </c>
      <c r="H30" s="473"/>
      <c r="I30" s="473"/>
      <c r="J30" s="473"/>
      <c r="K30" s="473"/>
      <c r="L30" s="474"/>
      <c r="M30" s="45" t="s">
        <v>33</v>
      </c>
      <c r="N30" s="19"/>
      <c r="O30" s="246" t="s">
        <v>71</v>
      </c>
      <c r="P30" s="154" t="str">
        <f>Y69</f>
        <v>2</v>
      </c>
      <c r="Q30" s="154" t="str">
        <f>Z69</f>
        <v>4</v>
      </c>
      <c r="R30" s="154" t="str">
        <f>AA69</f>
        <v>0</v>
      </c>
      <c r="S30" s="154" t="str">
        <f>AB69</f>
        <v>6</v>
      </c>
      <c r="T30" s="14"/>
      <c r="U30" s="237"/>
      <c r="V30" s="262"/>
      <c r="Y30" s="464"/>
      <c r="Z30" s="464"/>
      <c r="AA30" s="465"/>
      <c r="AB30" s="45" t="s">
        <v>31</v>
      </c>
      <c r="AC30" s="22" t="s">
        <v>32</v>
      </c>
      <c r="AD30" s="23"/>
      <c r="AE30" s="23"/>
    </row>
    <row r="31" spans="2:22" ht="15" customHeight="1">
      <c r="B31" s="452"/>
      <c r="C31" s="37"/>
      <c r="D31" s="14"/>
      <c r="E31" s="14"/>
      <c r="F31" s="14"/>
      <c r="G31" s="14"/>
      <c r="H31" s="14"/>
      <c r="I31" s="14"/>
      <c r="J31" s="14"/>
      <c r="K31" s="14"/>
      <c r="L31" s="14"/>
      <c r="M31" s="14"/>
      <c r="N31" s="10"/>
      <c r="O31" s="14"/>
      <c r="P31" s="14"/>
      <c r="Q31" s="14"/>
      <c r="R31" s="14"/>
      <c r="S31" s="14"/>
      <c r="T31" s="14"/>
      <c r="U31" s="237"/>
      <c r="V31" s="262"/>
    </row>
    <row r="32" spans="2:24" ht="15" customHeight="1">
      <c r="B32" s="452"/>
      <c r="C32" s="53" t="s">
        <v>92</v>
      </c>
      <c r="D32" s="53"/>
      <c r="E32" s="59"/>
      <c r="F32" s="14"/>
      <c r="G32" s="466">
        <f>'Calculation sheet'!G27</f>
        <v>11487</v>
      </c>
      <c r="H32" s="466"/>
      <c r="I32" s="466"/>
      <c r="J32" s="471" t="str">
        <f>CONCATENATE("(In words"," ",$Y$89,")")</f>
        <v>(In words Eleven thousand Four hundred Eighty Seven only)</v>
      </c>
      <c r="K32" s="471"/>
      <c r="L32" s="471"/>
      <c r="M32" s="471"/>
      <c r="N32" s="471"/>
      <c r="O32" s="471"/>
      <c r="P32" s="471"/>
      <c r="Q32" s="471"/>
      <c r="R32" s="471"/>
      <c r="S32" s="471"/>
      <c r="T32" s="471"/>
      <c r="U32" s="247"/>
      <c r="V32" s="271"/>
      <c r="W32" s="362"/>
      <c r="X32" s="27"/>
    </row>
    <row r="33" spans="2:22" ht="23.25" customHeight="1">
      <c r="B33" s="452"/>
      <c r="C33" s="454"/>
      <c r="D33" s="454"/>
      <c r="E33" s="454"/>
      <c r="F33" s="454"/>
      <c r="G33" s="454"/>
      <c r="H33" s="454"/>
      <c r="I33" s="454"/>
      <c r="J33" s="454"/>
      <c r="K33" s="454"/>
      <c r="L33" s="454"/>
      <c r="M33" s="454"/>
      <c r="N33" s="454"/>
      <c r="O33" s="454"/>
      <c r="P33" s="454"/>
      <c r="Q33" s="454"/>
      <c r="R33" s="454"/>
      <c r="S33" s="454"/>
      <c r="T33" s="454"/>
      <c r="U33" s="237"/>
      <c r="V33" s="262"/>
    </row>
    <row r="34" spans="2:22" ht="6" customHeight="1">
      <c r="B34" s="452"/>
      <c r="C34" s="248" t="s">
        <v>72</v>
      </c>
      <c r="D34" s="249"/>
      <c r="E34" s="249"/>
      <c r="F34" s="249"/>
      <c r="G34" s="249"/>
      <c r="H34" s="249"/>
      <c r="I34" s="249"/>
      <c r="J34" s="249"/>
      <c r="K34" s="249"/>
      <c r="L34" s="249"/>
      <c r="M34" s="51"/>
      <c r="N34" s="58"/>
      <c r="O34" s="14"/>
      <c r="P34" s="14"/>
      <c r="Q34" s="14"/>
      <c r="R34" s="14"/>
      <c r="S34" s="14"/>
      <c r="T34" s="14"/>
      <c r="U34" s="237"/>
      <c r="V34" s="262"/>
    </row>
    <row r="35" spans="2:22" ht="16.5" customHeight="1">
      <c r="B35" s="452"/>
      <c r="C35" s="54"/>
      <c r="D35" s="54"/>
      <c r="E35" s="54"/>
      <c r="F35" s="54"/>
      <c r="G35" s="54"/>
      <c r="H35" s="54"/>
      <c r="I35" s="54"/>
      <c r="J35" s="455" t="s">
        <v>73</v>
      </c>
      <c r="K35" s="455"/>
      <c r="L35" s="455"/>
      <c r="M35" s="455"/>
      <c r="N35" s="10"/>
      <c r="O35" s="55"/>
      <c r="P35" s="23" t="s">
        <v>94</v>
      </c>
      <c r="Q35" s="52"/>
      <c r="R35" s="14"/>
      <c r="S35" s="14"/>
      <c r="T35" s="14"/>
      <c r="U35" s="237"/>
      <c r="V35" s="262"/>
    </row>
    <row r="36" spans="2:22" ht="22.5" customHeight="1">
      <c r="B36" s="452"/>
      <c r="C36" s="43" t="s">
        <v>93</v>
      </c>
      <c r="D36" s="249"/>
      <c r="E36" s="249"/>
      <c r="F36" s="249"/>
      <c r="G36" s="249"/>
      <c r="H36" s="249"/>
      <c r="I36" s="249"/>
      <c r="J36" s="249"/>
      <c r="K36" s="249"/>
      <c r="L36" s="249"/>
      <c r="M36" s="28"/>
      <c r="N36" s="28"/>
      <c r="O36" s="28"/>
      <c r="P36" s="28"/>
      <c r="Q36" s="28"/>
      <c r="R36" s="14"/>
      <c r="S36" s="14"/>
      <c r="T36" s="14"/>
      <c r="U36" s="237"/>
      <c r="V36" s="262"/>
    </row>
    <row r="37" spans="2:22" ht="22.5" customHeight="1">
      <c r="B37" s="236"/>
      <c r="C37" s="14"/>
      <c r="D37" s="249"/>
      <c r="E37" s="249"/>
      <c r="F37" s="249"/>
      <c r="G37" s="249"/>
      <c r="H37" s="249"/>
      <c r="I37" s="249"/>
      <c r="J37" s="249"/>
      <c r="K37" s="249"/>
      <c r="L37" s="249"/>
      <c r="M37" s="28"/>
      <c r="N37" s="28"/>
      <c r="O37" s="28"/>
      <c r="P37" s="28"/>
      <c r="Q37" s="28"/>
      <c r="R37" s="14"/>
      <c r="S37" s="14"/>
      <c r="T37" s="14"/>
      <c r="U37" s="237"/>
      <c r="V37" s="262"/>
    </row>
    <row r="38" spans="2:22" ht="36" customHeight="1">
      <c r="B38" s="236"/>
      <c r="C38" s="52"/>
      <c r="D38" s="249"/>
      <c r="E38" s="249"/>
      <c r="F38" s="249"/>
      <c r="G38" s="249"/>
      <c r="H38" s="249"/>
      <c r="I38" s="249"/>
      <c r="J38" s="249"/>
      <c r="K38" s="249"/>
      <c r="L38" s="249"/>
      <c r="M38" s="28"/>
      <c r="N38" s="28"/>
      <c r="O38" s="28"/>
      <c r="P38" s="28"/>
      <c r="Q38" s="250" t="s">
        <v>12</v>
      </c>
      <c r="R38" s="14"/>
      <c r="S38" s="14"/>
      <c r="T38" s="14"/>
      <c r="U38" s="237"/>
      <c r="V38" s="262"/>
    </row>
    <row r="39" spans="2:22" ht="22.5" customHeight="1">
      <c r="B39" s="236"/>
      <c r="C39" s="456" t="s">
        <v>34</v>
      </c>
      <c r="D39" s="456"/>
      <c r="E39" s="456"/>
      <c r="F39" s="456"/>
      <c r="G39" s="456"/>
      <c r="H39" s="456"/>
      <c r="I39" s="456"/>
      <c r="J39" s="456"/>
      <c r="K39" s="456"/>
      <c r="L39" s="456"/>
      <c r="M39" s="456"/>
      <c r="N39" s="456"/>
      <c r="O39" s="456"/>
      <c r="P39" s="456"/>
      <c r="Q39" s="456"/>
      <c r="R39" s="456"/>
      <c r="S39" s="456"/>
      <c r="T39" s="456"/>
      <c r="U39" s="240"/>
      <c r="V39" s="262"/>
    </row>
    <row r="40" spans="2:22" ht="18.75" customHeight="1">
      <c r="B40" s="236"/>
      <c r="C40" s="457" t="s">
        <v>35</v>
      </c>
      <c r="D40" s="457"/>
      <c r="E40" s="457"/>
      <c r="F40" s="457"/>
      <c r="G40" s="457"/>
      <c r="H40" s="457"/>
      <c r="I40" s="457"/>
      <c r="J40" s="457"/>
      <c r="K40" s="457"/>
      <c r="L40" s="457"/>
      <c r="M40" s="457"/>
      <c r="N40" s="457"/>
      <c r="O40" s="457"/>
      <c r="P40" s="457"/>
      <c r="Q40" s="457"/>
      <c r="R40" s="457"/>
      <c r="S40" s="457"/>
      <c r="T40" s="457"/>
      <c r="U40" s="458"/>
      <c r="V40" s="262"/>
    </row>
    <row r="41" spans="2:22" ht="18.75" customHeight="1">
      <c r="B41" s="236"/>
      <c r="C41" s="459" t="s">
        <v>36</v>
      </c>
      <c r="D41" s="459"/>
      <c r="E41" s="459"/>
      <c r="F41" s="459"/>
      <c r="G41" s="459"/>
      <c r="H41" s="459"/>
      <c r="I41" s="459"/>
      <c r="J41" s="459"/>
      <c r="K41" s="459"/>
      <c r="L41" s="459"/>
      <c r="M41" s="459"/>
      <c r="N41" s="459"/>
      <c r="O41" s="459"/>
      <c r="P41" s="459"/>
      <c r="Q41" s="459"/>
      <c r="R41" s="459"/>
      <c r="S41" s="459"/>
      <c r="T41" s="459"/>
      <c r="U41" s="460"/>
      <c r="V41" s="262"/>
    </row>
    <row r="42" spans="2:22" ht="18.75" customHeight="1">
      <c r="B42" s="236"/>
      <c r="C42" s="457" t="s">
        <v>95</v>
      </c>
      <c r="D42" s="457"/>
      <c r="E42" s="457"/>
      <c r="F42" s="457"/>
      <c r="G42" s="457"/>
      <c r="H42" s="457"/>
      <c r="I42" s="457"/>
      <c r="J42" s="457"/>
      <c r="K42" s="457"/>
      <c r="L42" s="457"/>
      <c r="M42" s="457"/>
      <c r="N42" s="457"/>
      <c r="O42" s="457"/>
      <c r="P42" s="457"/>
      <c r="Q42" s="457"/>
      <c r="R42" s="457"/>
      <c r="S42" s="457"/>
      <c r="T42" s="457"/>
      <c r="U42" s="458"/>
      <c r="V42" s="262"/>
    </row>
    <row r="43" spans="2:22" ht="17.25" customHeight="1">
      <c r="B43" s="236"/>
      <c r="C43" s="14"/>
      <c r="D43" s="14"/>
      <c r="E43" s="14"/>
      <c r="F43" s="14"/>
      <c r="G43" s="14"/>
      <c r="H43" s="14"/>
      <c r="I43" s="10"/>
      <c r="J43" s="14"/>
      <c r="K43" s="14"/>
      <c r="L43" s="14"/>
      <c r="M43" s="14"/>
      <c r="N43" s="10"/>
      <c r="O43" s="14"/>
      <c r="P43" s="14"/>
      <c r="Q43" s="14"/>
      <c r="R43" s="14"/>
      <c r="S43" s="14"/>
      <c r="T43" s="14"/>
      <c r="U43" s="237"/>
      <c r="V43" s="262"/>
    </row>
    <row r="44" spans="2:22" ht="17.25" customHeight="1">
      <c r="B44" s="236"/>
      <c r="C44" s="14"/>
      <c r="D44" s="14"/>
      <c r="E44" s="14"/>
      <c r="F44" s="14"/>
      <c r="G44" s="14"/>
      <c r="H44" s="14"/>
      <c r="I44" s="10"/>
      <c r="J44" s="14"/>
      <c r="K44" s="14"/>
      <c r="L44" s="14"/>
      <c r="M44" s="14"/>
      <c r="N44" s="10"/>
      <c r="O44" s="14"/>
      <c r="P44" s="14"/>
      <c r="Q44" s="14"/>
      <c r="R44" s="14"/>
      <c r="S44" s="14"/>
      <c r="T44" s="14"/>
      <c r="U44" s="237"/>
      <c r="V44" s="262"/>
    </row>
    <row r="45" spans="2:22" ht="17.25" customHeight="1">
      <c r="B45" s="236"/>
      <c r="C45" s="14"/>
      <c r="D45" s="14"/>
      <c r="E45" s="14"/>
      <c r="F45" s="14"/>
      <c r="G45" s="14"/>
      <c r="H45" s="14"/>
      <c r="I45" s="10"/>
      <c r="J45" s="14"/>
      <c r="K45" s="14"/>
      <c r="L45" s="14"/>
      <c r="M45" s="14"/>
      <c r="N45" s="10"/>
      <c r="O45" s="14"/>
      <c r="P45" s="14"/>
      <c r="Q45" s="14"/>
      <c r="R45" s="14"/>
      <c r="S45" s="14"/>
      <c r="T45" s="14"/>
      <c r="U45" s="237"/>
      <c r="V45" s="262"/>
    </row>
    <row r="46" spans="2:22" ht="17.25" customHeight="1">
      <c r="B46" s="236"/>
      <c r="C46" s="14"/>
      <c r="D46" s="14"/>
      <c r="E46" s="14"/>
      <c r="F46" s="14"/>
      <c r="G46" s="14"/>
      <c r="H46" s="14"/>
      <c r="I46" s="14"/>
      <c r="J46" s="14"/>
      <c r="K46" s="14"/>
      <c r="L46" s="14"/>
      <c r="M46" s="14"/>
      <c r="N46" s="10"/>
      <c r="O46" s="453" t="s">
        <v>37</v>
      </c>
      <c r="P46" s="453"/>
      <c r="Q46" s="453"/>
      <c r="R46" s="453"/>
      <c r="S46" s="453"/>
      <c r="T46" s="453"/>
      <c r="U46" s="237"/>
      <c r="V46" s="262"/>
    </row>
    <row r="47" spans="2:22" ht="21.75" customHeight="1">
      <c r="B47" s="236"/>
      <c r="C47" s="14"/>
      <c r="D47" s="14"/>
      <c r="E47" s="251"/>
      <c r="F47" s="14"/>
      <c r="G47" s="14"/>
      <c r="H47" s="14"/>
      <c r="I47" s="14"/>
      <c r="J47" s="14"/>
      <c r="K47" s="14"/>
      <c r="L47" s="14"/>
      <c r="M47" s="14"/>
      <c r="N47" s="10"/>
      <c r="O47" s="14"/>
      <c r="P47" s="14"/>
      <c r="Q47" s="14"/>
      <c r="R47" s="14"/>
      <c r="S47" s="14"/>
      <c r="T47" s="14"/>
      <c r="U47" s="237"/>
      <c r="V47" s="262"/>
    </row>
    <row r="48" spans="2:22" ht="12.75">
      <c r="B48" s="236"/>
      <c r="C48" s="14"/>
      <c r="D48" s="14"/>
      <c r="E48" s="14"/>
      <c r="F48" s="14"/>
      <c r="G48" s="14"/>
      <c r="H48" s="14"/>
      <c r="I48" s="14"/>
      <c r="J48" s="14"/>
      <c r="K48" s="14"/>
      <c r="L48" s="14"/>
      <c r="M48" s="14"/>
      <c r="N48" s="10"/>
      <c r="O48" s="14"/>
      <c r="P48" s="14"/>
      <c r="Q48" s="14"/>
      <c r="R48" s="14"/>
      <c r="S48" s="14"/>
      <c r="T48" s="14"/>
      <c r="U48" s="237"/>
      <c r="V48" s="262"/>
    </row>
    <row r="49" spans="2:22" ht="13.5" thickBot="1">
      <c r="B49" s="252"/>
      <c r="C49" s="253"/>
      <c r="D49" s="253"/>
      <c r="E49" s="253"/>
      <c r="F49" s="253"/>
      <c r="G49" s="253"/>
      <c r="H49" s="253"/>
      <c r="I49" s="253"/>
      <c r="J49" s="253"/>
      <c r="K49" s="253"/>
      <c r="L49" s="253"/>
      <c r="M49" s="253"/>
      <c r="N49" s="254"/>
      <c r="O49" s="253"/>
      <c r="P49" s="253"/>
      <c r="Q49" s="253"/>
      <c r="R49" s="253"/>
      <c r="S49" s="253"/>
      <c r="T49" s="253"/>
      <c r="U49" s="255"/>
      <c r="V49" s="262"/>
    </row>
    <row r="50" spans="14:23" s="262" customFormat="1" ht="21.75" customHeight="1">
      <c r="N50" s="263"/>
      <c r="W50" s="354"/>
    </row>
    <row r="51" ht="12.75" hidden="1"/>
    <row r="52" ht="12.75" hidden="1"/>
    <row r="53" ht="12.75" hidden="1"/>
    <row r="54" ht="12.75" hidden="1"/>
    <row r="55" ht="12.75" hidden="1"/>
    <row r="56" ht="12.75" hidden="1">
      <c r="Z56" s="60" t="str">
        <f>Z9</f>
        <v>03010402001</v>
      </c>
    </row>
    <row r="57" ht="12.75" hidden="1">
      <c r="Y57" s="1" t="str">
        <f>LEFT(Z56,4)</f>
        <v>0301</v>
      </c>
    </row>
    <row r="58" spans="25:29" ht="12.75" hidden="1">
      <c r="Y58" s="1" t="str">
        <f>LEFT(Y57,1)</f>
        <v>0</v>
      </c>
      <c r="Z58" s="1" t="str">
        <f>RIGHT(LEFT(Y57,2),1)</f>
        <v>3</v>
      </c>
      <c r="AA58" s="1" t="str">
        <f>LEFT(RIGHT(Y57,2),1)</f>
        <v>0</v>
      </c>
      <c r="AB58" s="1" t="str">
        <f>RIGHT(RIGHT(Y57,2),1)</f>
        <v>1</v>
      </c>
      <c r="AC58" s="1">
        <f>RIGHT(RIGHT(Z57,2),1)</f>
      </c>
    </row>
    <row r="59" ht="12.75" hidden="1">
      <c r="Z59" s="1">
        <v>2406010010003010</v>
      </c>
    </row>
    <row r="60" ht="12.75" hidden="1"/>
    <row r="61" ht="12.75" hidden="1">
      <c r="Z61" s="1" t="str">
        <f>LEFT(Z59,6)</f>
        <v>240601</v>
      </c>
    </row>
    <row r="62" ht="12.75" hidden="1"/>
    <row r="63" spans="25:27" ht="12.75" hidden="1">
      <c r="Y63" s="1" t="str">
        <f>LEFT(Z61,4)</f>
        <v>2406</v>
      </c>
      <c r="Z63" s="1" t="str">
        <f>LEFT(Z61,3)</f>
        <v>240</v>
      </c>
      <c r="AA63" s="1" t="str">
        <f>RIGHT(Z61,3)</f>
        <v>601</v>
      </c>
    </row>
    <row r="64" ht="12.75" hidden="1"/>
    <row r="65" spans="25:27" ht="12.75" hidden="1">
      <c r="Y65" s="1" t="str">
        <f>LEFT(Y63,1)</f>
        <v>2</v>
      </c>
      <c r="Z65" s="1" t="str">
        <f>LEFT(RIGHT(Z63,2),1)</f>
        <v>4</v>
      </c>
      <c r="AA65" s="1">
        <f>RIGHT(AA63,1)*1</f>
        <v>1</v>
      </c>
    </row>
    <row r="66" spans="28:29" ht="12.75" hidden="1">
      <c r="AB66" s="61" t="s">
        <v>158</v>
      </c>
      <c r="AC66" s="61" t="s">
        <v>158</v>
      </c>
    </row>
    <row r="67" ht="12.75" hidden="1">
      <c r="Z67" s="1" t="str">
        <f>LEFT(Z61,4)</f>
        <v>2406</v>
      </c>
    </row>
    <row r="68" ht="12.75" hidden="1"/>
    <row r="69" spans="25:28" ht="12.75" hidden="1">
      <c r="Y69" s="1" t="str">
        <f>LEFT(RIGHT(Z67,4),1)</f>
        <v>2</v>
      </c>
      <c r="Z69" s="1" t="str">
        <f>LEFT(RIGHT(Z67,3),1)</f>
        <v>4</v>
      </c>
      <c r="AA69" s="1" t="str">
        <f>LEFT(RIGHT(Z67,2),1)</f>
        <v>0</v>
      </c>
      <c r="AB69" s="1" t="str">
        <f>RIGHT(RIGHT(Z67,2),1)</f>
        <v>6</v>
      </c>
    </row>
    <row r="70" ht="12.75" hidden="1"/>
    <row r="71" ht="12.75" hidden="1"/>
    <row r="72" ht="12.75" hidden="1"/>
    <row r="73" ht="12.75" hidden="1"/>
    <row r="74" ht="12.75" hidden="1"/>
    <row r="75" ht="12.75" hidden="1"/>
    <row r="76" ht="12.75" hidden="1"/>
    <row r="77" spans="25:61" ht="12.75" hidden="1">
      <c r="Y77" s="194">
        <f>G32</f>
        <v>11487</v>
      </c>
      <c r="Z77" s="62">
        <f>(Y77-Y80)/1000</f>
        <v>11</v>
      </c>
      <c r="AA77" s="62"/>
      <c r="AB77" s="62"/>
      <c r="AC77" s="62"/>
      <c r="AD77" s="62"/>
      <c r="AE77" s="62"/>
      <c r="AF77" s="62"/>
      <c r="AG77" s="62"/>
      <c r="AH77" s="62"/>
      <c r="AI77" s="62"/>
      <c r="AJ77" s="62"/>
      <c r="AK77" s="62"/>
      <c r="AL77" s="62">
        <v>1</v>
      </c>
      <c r="AM77" s="62" t="s">
        <v>38</v>
      </c>
      <c r="AN77" s="62"/>
      <c r="AO77" s="29"/>
      <c r="AP77" s="62"/>
      <c r="AQ77" s="62"/>
      <c r="AR77" s="62"/>
      <c r="AS77" s="62"/>
      <c r="AT77" s="62"/>
      <c r="AU77" s="62"/>
      <c r="AV77" s="62"/>
      <c r="AW77" s="62"/>
      <c r="AX77" s="62"/>
      <c r="AY77" s="62"/>
      <c r="AZ77" s="62"/>
      <c r="BA77" s="62"/>
      <c r="BB77" s="62"/>
      <c r="BC77" s="62"/>
      <c r="BD77" s="62"/>
      <c r="BE77" s="62"/>
      <c r="BF77" s="62"/>
      <c r="BG77" s="62"/>
      <c r="BH77" s="62"/>
      <c r="BI77" s="62"/>
    </row>
    <row r="78" spans="25:61" ht="12.75" hidden="1">
      <c r="Y78" s="62">
        <f>(Z77-Y79)/100</f>
        <v>0</v>
      </c>
      <c r="Z78" s="62">
        <f>Y78</f>
        <v>0</v>
      </c>
      <c r="AA78" s="62">
        <f>RIGHT(Z78,2)*1</f>
        <v>0</v>
      </c>
      <c r="AB78" s="62">
        <f>(Z78-AA78)/100</f>
        <v>0</v>
      </c>
      <c r="AC78" s="62">
        <f>(AA78-RIGHT(AA78,1)*1)/10</f>
        <v>0</v>
      </c>
      <c r="AD78" s="62">
        <f>RIGHT(Z78,1)*1</f>
        <v>0</v>
      </c>
      <c r="AE78" s="62" t="str">
        <f>IF(AC78=AL78,AN78,IF(AC78=AL79,AN79,IF(AC78=AL80,AN80,IF(AC78=AL81,AN81,IF(AC78=AL82,AN82,IF(AC78=AL83,AN83,IF(AC78=AL84,AN84,IF(AC78=AL85,AN85," "))))))))</f>
        <v> </v>
      </c>
      <c r="AF78" s="62" t="str">
        <f>IF(AC78=1," ",IF(AD78=AL77,AM77,IF(AD78=AL78,AM78,IF(AD78=AL79,AM79,IF(AD78=AL80,AM80,IF(AD78=AL81,AM81,IF(AD78=AL82,AM82," ")))))))</f>
        <v> </v>
      </c>
      <c r="AG78" s="62" t="str">
        <f>IF(AC78=1," ",IF(AD78=AL83,AM83,IF(AD78=AL84,AM84,IF(AD78=AL85,AM85," "))))</f>
        <v> </v>
      </c>
      <c r="AH78" s="62" t="str">
        <f>IF(AC78=0," ",IF(AC78&gt;1," ",IF(AD78=AL78,AM88,IF(AD78=AL79,AM89,IF(AD78=AL80,AM90,IF(AD78=AL81,AM91,IF(AD78=AL82,AM92,IF(AD78=AL83,AM93," "))))))))</f>
        <v> </v>
      </c>
      <c r="AI78" s="62" t="str">
        <f>IF(AC78=0," ",IF(AC78&gt;1," ",IF(AD78=AL84,AM94,IF(AD78=AL85,AM95,IF(AD78=AL77,AM87,IF(AD78=0,AM86," "))))))</f>
        <v> </v>
      </c>
      <c r="AJ78" s="62" t="str">
        <f>IF(AC78=0," ","lakh")</f>
        <v> </v>
      </c>
      <c r="AK78" s="62" t="str">
        <f>IF(AD78=0," ",IF(AC78&gt;0," ","lakh"))</f>
        <v> </v>
      </c>
      <c r="AL78" s="62">
        <v>2</v>
      </c>
      <c r="AM78" s="62" t="s">
        <v>39</v>
      </c>
      <c r="AN78" s="62" t="s">
        <v>40</v>
      </c>
      <c r="AO78" s="29"/>
      <c r="AP78" s="62"/>
      <c r="AQ78" s="62"/>
      <c r="AR78" s="62"/>
      <c r="AS78" s="62"/>
      <c r="AT78" s="62"/>
      <c r="AU78" s="62"/>
      <c r="AV78" s="62"/>
      <c r="AW78" s="62"/>
      <c r="AX78" s="62"/>
      <c r="AY78" s="62"/>
      <c r="AZ78" s="62"/>
      <c r="BA78" s="62"/>
      <c r="BB78" s="62"/>
      <c r="BC78" s="62"/>
      <c r="BD78" s="62"/>
      <c r="BE78" s="62"/>
      <c r="BF78" s="62"/>
      <c r="BG78" s="62"/>
      <c r="BH78" s="62"/>
      <c r="BI78" s="62"/>
    </row>
    <row r="79" spans="25:61" ht="12.75" hidden="1">
      <c r="Y79" s="62">
        <f>RIGHT(Z77,2)*1</f>
        <v>11</v>
      </c>
      <c r="Z79" s="62">
        <f>Y79</f>
        <v>11</v>
      </c>
      <c r="AA79" s="62">
        <f>RIGHT(Z79,2)*1</f>
        <v>11</v>
      </c>
      <c r="AB79" s="62">
        <f>(Z79-AA79)/100</f>
        <v>0</v>
      </c>
      <c r="AC79" s="62">
        <f>(AA79-RIGHT(AA79,1)*1)/10</f>
        <v>1</v>
      </c>
      <c r="AD79" s="62">
        <f>RIGHT(Z79,1)*1</f>
        <v>1</v>
      </c>
      <c r="AE79" s="62" t="str">
        <f>IF(AC79=AL78,AN78,IF(AC79=AL79,AN79,IF(AC79=AL80,AN80,IF(AC79=AL81,AN81,IF(AC79=AL82,AN82,IF(AC79=AL83,AN83,IF(AC79=AL84,AN84,IF(AC79=AL85,AN85," "))))))))</f>
        <v> </v>
      </c>
      <c r="AF79" s="62" t="str">
        <f>IF(AC79=1," ",IF(AD79=AL77,AM77,IF(AD79=AL78,AM78,IF(AD79=AL79,AM79,IF(AD79=AL80,AM80,IF(AD79=AL81,AM81,IF(AD79=AL82,AM82," ")))))))</f>
        <v> </v>
      </c>
      <c r="AG79" s="62" t="str">
        <f>IF(AC79=1," ",IF(AD79=AL83,AM83,IF(AD79=AL84,AM84,IF(AD79=AL85,AM85," "))))</f>
        <v> </v>
      </c>
      <c r="AH79" s="62" t="str">
        <f>IF(AC79=0," ",IF(AC79&gt;1," ",IF(AD79=AL78,AM88,IF(AD79=AL79,AM89,IF(AD79=AL80,AM90,IF(AD79=AL81,AM91,IF(AD79=AL82,AM92,IF(AD79=AL83,AM93," "))))))))</f>
        <v> </v>
      </c>
      <c r="AI79" s="62" t="str">
        <f>IF(AC79=0," ",IF(AC79&gt;1," ",IF(AD79=AL84,AM94,IF(AD79=AL85,AM95,IF(AD79=AL77,AM87,IF(AD79=0,AM86," "))))))</f>
        <v>Eleven</v>
      </c>
      <c r="AJ79" s="62" t="str">
        <f>IF(AC79=0," ","thousand")</f>
        <v>thousand</v>
      </c>
      <c r="AK79" s="62" t="str">
        <f>IF(AD79=0," ",IF(AC79&gt;0," ","thousand"))</f>
        <v> </v>
      </c>
      <c r="AL79" s="62">
        <v>3</v>
      </c>
      <c r="AM79" s="62" t="s">
        <v>41</v>
      </c>
      <c r="AN79" s="62" t="s">
        <v>42</v>
      </c>
      <c r="AO79" s="29"/>
      <c r="AP79" s="62"/>
      <c r="AQ79" s="62"/>
      <c r="AR79" s="62"/>
      <c r="AS79" s="62"/>
      <c r="AT79" s="62"/>
      <c r="AU79" s="62"/>
      <c r="AV79" s="62"/>
      <c r="AW79" s="62"/>
      <c r="AX79" s="62"/>
      <c r="AY79" s="62"/>
      <c r="AZ79" s="62"/>
      <c r="BA79" s="62"/>
      <c r="BB79" s="62"/>
      <c r="BC79" s="62"/>
      <c r="BD79" s="62"/>
      <c r="BE79" s="62"/>
      <c r="BF79" s="62"/>
      <c r="BG79" s="62"/>
      <c r="BH79" s="62"/>
      <c r="BI79" s="62"/>
    </row>
    <row r="80" spans="25:61" ht="12.75" hidden="1">
      <c r="Y80" s="62">
        <f>RIGHT(Y77,3)*1</f>
        <v>487</v>
      </c>
      <c r="Z80" s="62">
        <f>Y80</f>
        <v>487</v>
      </c>
      <c r="AA80" s="62">
        <f>ROUND((Z80-AB81)/100,0)</f>
        <v>4</v>
      </c>
      <c r="AB80" s="62"/>
      <c r="AC80" s="62"/>
      <c r="AD80" s="62"/>
      <c r="AE80" s="62"/>
      <c r="AF80" s="62" t="str">
        <f>IF(AA80=0," ",IF(AA80=AL77,AM77,IF(AA80=AL78,AM78,IF(AA80=AL79,AM79,IF(AA80=AL80,AM80,IF(AA80=AL81,AM81,IF(AA80=AL82,AM82," ")))))))</f>
        <v>Four</v>
      </c>
      <c r="AG80" s="62" t="str">
        <f>IF(AA80=0," ",IF(AA80=AL83,AM83,IF(AA80=AL84,AM84,IF(AA80=AL85,AM85," "))))</f>
        <v> </v>
      </c>
      <c r="AH80" s="62"/>
      <c r="AI80" s="62"/>
      <c r="AJ80" s="62" t="str">
        <f>IF(AA80=0," ","hundred")</f>
        <v>hundred</v>
      </c>
      <c r="AK80" s="62"/>
      <c r="AL80" s="62">
        <v>4</v>
      </c>
      <c r="AM80" s="62" t="s">
        <v>43</v>
      </c>
      <c r="AN80" s="62" t="s">
        <v>44</v>
      </c>
      <c r="AO80" s="29"/>
      <c r="AP80" s="62"/>
      <c r="AQ80" s="62"/>
      <c r="AR80" s="62"/>
      <c r="AS80" s="62"/>
      <c r="AT80" s="62"/>
      <c r="AU80" s="62"/>
      <c r="AV80" s="62"/>
      <c r="AW80" s="62"/>
      <c r="AX80" s="62"/>
      <c r="AY80" s="62"/>
      <c r="AZ80" s="62"/>
      <c r="BA80" s="62"/>
      <c r="BB80" s="62"/>
      <c r="BC80" s="62"/>
      <c r="BD80" s="62"/>
      <c r="BE80" s="62"/>
      <c r="BF80" s="62"/>
      <c r="BG80" s="62"/>
      <c r="BH80" s="62"/>
      <c r="BI80" s="62"/>
    </row>
    <row r="81" spans="18:61" ht="12.75" hidden="1">
      <c r="R81" s="29"/>
      <c r="S81" s="29"/>
      <c r="T81" s="29"/>
      <c r="U81" s="29"/>
      <c r="Y81" s="62"/>
      <c r="Z81" s="62"/>
      <c r="AA81" s="62"/>
      <c r="AB81" s="62">
        <f>RIGHT(Z80,2)*1</f>
        <v>87</v>
      </c>
      <c r="AC81" s="62">
        <f>(AB81-RIGHT(AB81,1)*1)/10</f>
        <v>8</v>
      </c>
      <c r="AD81" s="62">
        <f>RIGHT(Z80,1)*1</f>
        <v>7</v>
      </c>
      <c r="AE81" s="62" t="str">
        <f>IF(AC81=AL78,AN78,IF(AC81=AL79,AN79,IF(AC81=AL80,AN80,IF(AC81=AL81,AN81,IF(AC81=AL82,AN82,IF(AC81=AL83,AN83,IF(AC81=AL84,AN84,IF(AC81=AL85,AN85," "))))))))</f>
        <v>Eighty </v>
      </c>
      <c r="AF81" s="62" t="str">
        <f>IF(AC81=1," ",IF(AD81=AL77,AM77,IF(AD81=AL78,AM78,IF(AD81=AL79,AM79,IF(AD81=AL80,AM80,IF(AD81=AL81,AM81,IF(AD81=AL82,AM82," ")))))))</f>
        <v> </v>
      </c>
      <c r="AG81" s="62" t="str">
        <f>IF(AC81=1," ",IF(AD81=AL83,AM83,IF(AD81=AL84,AM84,IF(AD81=AL85,AM85," "))))</f>
        <v>Seven</v>
      </c>
      <c r="AH81" s="62" t="str">
        <f>IF(AC81=0," ",IF(AC81&gt;1," ",IF(AD81=AL78,AM88,IF(AD81=AL79,AM89,IF(AD81=AL80,AM90,IF(AD81=AL81,AM91,IF(AD81=AL82,AM92,IF(AD81=AL83,AM93," "))))))))</f>
        <v> </v>
      </c>
      <c r="AI81" s="62" t="str">
        <f>IF(AC81=0," ",IF(AC81&gt;1," ",IF(AD81=AL84,AM94,IF(AD81=AL85,AM95,IF(AD81=AL77,AM87,IF(AD81=0,AM86," "))))))</f>
        <v> </v>
      </c>
      <c r="AJ81" s="62"/>
      <c r="AK81" s="62"/>
      <c r="AL81" s="62">
        <v>5</v>
      </c>
      <c r="AM81" s="62" t="s">
        <v>45</v>
      </c>
      <c r="AN81" s="62" t="s">
        <v>46</v>
      </c>
      <c r="AO81" s="29"/>
      <c r="AP81" s="62"/>
      <c r="AQ81" s="62"/>
      <c r="AR81" s="62"/>
      <c r="AS81" s="62"/>
      <c r="AT81" s="62"/>
      <c r="AU81" s="62"/>
      <c r="AV81" s="62"/>
      <c r="AW81" s="62"/>
      <c r="AX81" s="62"/>
      <c r="AY81" s="62"/>
      <c r="AZ81" s="62"/>
      <c r="BA81" s="62"/>
      <c r="BB81" s="62"/>
      <c r="BC81" s="62"/>
      <c r="BD81" s="62"/>
      <c r="BE81" s="62"/>
      <c r="BF81" s="62"/>
      <c r="BG81" s="62"/>
      <c r="BH81" s="62"/>
      <c r="BI81" s="62"/>
    </row>
    <row r="82" spans="18:61" ht="12.75" hidden="1">
      <c r="R82" s="29"/>
      <c r="S82" s="29"/>
      <c r="T82" s="29"/>
      <c r="U82" s="29"/>
      <c r="Y82" s="62"/>
      <c r="Z82" s="62"/>
      <c r="AA82" s="62"/>
      <c r="AB82" s="62"/>
      <c r="AC82" s="62">
        <f>AC81</f>
        <v>8</v>
      </c>
      <c r="AD82" s="62">
        <f>AD81</f>
        <v>7</v>
      </c>
      <c r="AE82" s="62"/>
      <c r="AF82" s="62"/>
      <c r="AG82" s="62"/>
      <c r="AH82" s="62"/>
      <c r="AI82" s="62"/>
      <c r="AJ82" s="62"/>
      <c r="AK82" s="62"/>
      <c r="AL82" s="62">
        <v>6</v>
      </c>
      <c r="AM82" s="62" t="s">
        <v>47</v>
      </c>
      <c r="AN82" s="62" t="s">
        <v>48</v>
      </c>
      <c r="AO82" s="29"/>
      <c r="AP82" s="62"/>
      <c r="AQ82" s="62"/>
      <c r="AR82" s="62"/>
      <c r="AS82" s="62"/>
      <c r="AT82" s="62"/>
      <c r="AU82" s="62"/>
      <c r="AV82" s="62"/>
      <c r="AW82" s="62"/>
      <c r="AX82" s="62"/>
      <c r="AY82" s="62"/>
      <c r="AZ82" s="62"/>
      <c r="BA82" s="62"/>
      <c r="BB82" s="62"/>
      <c r="BC82" s="62"/>
      <c r="BD82" s="62"/>
      <c r="BE82" s="62"/>
      <c r="BF82" s="62"/>
      <c r="BG82" s="62"/>
      <c r="BH82" s="62"/>
      <c r="BI82" s="62"/>
    </row>
    <row r="83" spans="18:61" ht="12.75" hidden="1">
      <c r="R83" s="29"/>
      <c r="S83" s="29"/>
      <c r="T83" s="29"/>
      <c r="U83" s="29"/>
      <c r="Y83" s="62"/>
      <c r="Z83" s="62"/>
      <c r="AA83" s="62"/>
      <c r="AB83" s="62"/>
      <c r="AC83" s="62"/>
      <c r="AD83" s="62"/>
      <c r="AE83" s="62"/>
      <c r="AF83" s="62"/>
      <c r="AG83" s="62"/>
      <c r="AH83" s="62"/>
      <c r="AI83" s="62"/>
      <c r="AJ83" s="62"/>
      <c r="AK83" s="62"/>
      <c r="AL83" s="62">
        <v>7</v>
      </c>
      <c r="AM83" s="62" t="s">
        <v>49</v>
      </c>
      <c r="AN83" s="62" t="s">
        <v>50</v>
      </c>
      <c r="AO83" s="29"/>
      <c r="AP83" s="62"/>
      <c r="AQ83" s="62"/>
      <c r="AR83" s="62"/>
      <c r="AS83" s="62"/>
      <c r="AT83" s="62"/>
      <c r="AU83" s="62"/>
      <c r="AV83" s="62"/>
      <c r="AW83" s="62"/>
      <c r="AX83" s="62"/>
      <c r="AY83" s="62"/>
      <c r="AZ83" s="62"/>
      <c r="BA83" s="62"/>
      <c r="BB83" s="62"/>
      <c r="BC83" s="62"/>
      <c r="BD83" s="62"/>
      <c r="BE83" s="62"/>
      <c r="BF83" s="62"/>
      <c r="BG83" s="62"/>
      <c r="BH83" s="62"/>
      <c r="BI83" s="62"/>
    </row>
    <row r="84" spans="18:61" ht="12.75" hidden="1">
      <c r="R84" s="29"/>
      <c r="S84" s="29"/>
      <c r="T84" s="29"/>
      <c r="U84" s="29"/>
      <c r="Y84" s="62"/>
      <c r="Z84" s="62"/>
      <c r="AA84" s="62"/>
      <c r="AB84" s="62"/>
      <c r="AC84" s="62"/>
      <c r="AD84" s="62"/>
      <c r="AE84" s="62"/>
      <c r="AF84" s="62"/>
      <c r="AG84" s="62"/>
      <c r="AH84" s="62"/>
      <c r="AI84" s="62"/>
      <c r="AJ84" s="62"/>
      <c r="AK84" s="62"/>
      <c r="AL84" s="62">
        <v>8</v>
      </c>
      <c r="AM84" s="62" t="s">
        <v>51</v>
      </c>
      <c r="AN84" s="62" t="s">
        <v>52</v>
      </c>
      <c r="AO84" s="29"/>
      <c r="AP84" s="62"/>
      <c r="AQ84" s="62"/>
      <c r="AR84" s="62"/>
      <c r="AS84" s="62"/>
      <c r="AT84" s="62"/>
      <c r="AU84" s="62"/>
      <c r="AV84" s="62"/>
      <c r="AW84" s="62"/>
      <c r="AX84" s="62"/>
      <c r="AY84" s="62"/>
      <c r="AZ84" s="62"/>
      <c r="BA84" s="62"/>
      <c r="BB84" s="62"/>
      <c r="BC84" s="62"/>
      <c r="BD84" s="62"/>
      <c r="BE84" s="62"/>
      <c r="BF84" s="62"/>
      <c r="BG84" s="62"/>
      <c r="BH84" s="62"/>
      <c r="BI84" s="62"/>
    </row>
    <row r="85" spans="18:61" ht="12.75" hidden="1">
      <c r="R85" s="29"/>
      <c r="S85" s="29"/>
      <c r="T85" s="29"/>
      <c r="U85" s="29"/>
      <c r="Y85" s="62">
        <f>TRIM(AE78&amp;" "&amp;AF78&amp;" "&amp;AG78&amp;" "&amp;AH78&amp;" "&amp;AI78&amp;" "&amp;AJ78&amp;" "&amp;AK78)</f>
      </c>
      <c r="Z85" s="62"/>
      <c r="AA85" s="62"/>
      <c r="AB85" s="62"/>
      <c r="AC85" s="62"/>
      <c r="AD85" s="62"/>
      <c r="AE85" s="62"/>
      <c r="AF85" s="62"/>
      <c r="AG85" s="62"/>
      <c r="AH85" s="62"/>
      <c r="AI85" s="62"/>
      <c r="AJ85" s="62"/>
      <c r="AK85" s="62"/>
      <c r="AL85" s="62">
        <v>9</v>
      </c>
      <c r="AM85" s="62" t="s">
        <v>53</v>
      </c>
      <c r="AN85" s="62" t="s">
        <v>54</v>
      </c>
      <c r="AO85" s="29"/>
      <c r="AP85" s="62"/>
      <c r="AQ85" s="62"/>
      <c r="AR85" s="62"/>
      <c r="AS85" s="62"/>
      <c r="AT85" s="62"/>
      <c r="AU85" s="62"/>
      <c r="AV85" s="62"/>
      <c r="AW85" s="62"/>
      <c r="AX85" s="62"/>
      <c r="AY85" s="62"/>
      <c r="AZ85" s="62"/>
      <c r="BA85" s="62"/>
      <c r="BB85" s="62"/>
      <c r="BC85" s="62"/>
      <c r="BD85" s="62"/>
      <c r="BE85" s="62"/>
      <c r="BF85" s="62"/>
      <c r="BG85" s="62"/>
      <c r="BH85" s="62"/>
      <c r="BI85" s="62"/>
    </row>
    <row r="86" spans="18:61" ht="12.75" hidden="1">
      <c r="R86" s="29"/>
      <c r="S86" s="29"/>
      <c r="T86" s="29"/>
      <c r="U86" s="29"/>
      <c r="Y86" s="62" t="str">
        <f>TRIM(AE79&amp;" "&amp;AF79&amp;" "&amp;AG79&amp;" "&amp;AH79&amp;" "&amp;AI79&amp;" "&amp;AJ79&amp;" "&amp;AK79)</f>
        <v>Eleven thousand</v>
      </c>
      <c r="Z86" s="62"/>
      <c r="AA86" s="62"/>
      <c r="AB86" s="62"/>
      <c r="AC86" s="62"/>
      <c r="AD86" s="62"/>
      <c r="AE86" s="62"/>
      <c r="AF86" s="62"/>
      <c r="AG86" s="62"/>
      <c r="AH86" s="62"/>
      <c r="AI86" s="62"/>
      <c r="AJ86" s="62"/>
      <c r="AK86" s="62"/>
      <c r="AL86" s="62">
        <v>10</v>
      </c>
      <c r="AM86" s="62" t="s">
        <v>55</v>
      </c>
      <c r="AN86" s="62"/>
      <c r="AO86" s="29"/>
      <c r="AP86" s="62"/>
      <c r="AQ86" s="62"/>
      <c r="AR86" s="62"/>
      <c r="AS86" s="62"/>
      <c r="AT86" s="62"/>
      <c r="AU86" s="62"/>
      <c r="AV86" s="62"/>
      <c r="AW86" s="62"/>
      <c r="AX86" s="62"/>
      <c r="AY86" s="62"/>
      <c r="AZ86" s="62"/>
      <c r="BA86" s="62"/>
      <c r="BB86" s="62"/>
      <c r="BC86" s="62"/>
      <c r="BD86" s="62"/>
      <c r="BE86" s="62"/>
      <c r="BF86" s="62"/>
      <c r="BG86" s="62"/>
      <c r="BH86" s="62"/>
      <c r="BI86" s="62"/>
    </row>
    <row r="87" spans="18:61" ht="12.75" hidden="1">
      <c r="R87" s="29"/>
      <c r="S87" s="29"/>
      <c r="T87" s="29"/>
      <c r="U87" s="29"/>
      <c r="Y87" s="62" t="str">
        <f>TRIM(AE80&amp;" "&amp;AF80&amp;" "&amp;AG80&amp;" "&amp;AH80&amp;" "&amp;AI80&amp;" "&amp;AJ80&amp;" "&amp;AK80)</f>
        <v>Four hundred</v>
      </c>
      <c r="Z87" s="62"/>
      <c r="AA87" s="62"/>
      <c r="AB87" s="62"/>
      <c r="AC87" s="62"/>
      <c r="AD87" s="62"/>
      <c r="AE87" s="62"/>
      <c r="AF87" s="62"/>
      <c r="AG87" s="62"/>
      <c r="AH87" s="62"/>
      <c r="AI87" s="62"/>
      <c r="AJ87" s="62"/>
      <c r="AK87" s="62"/>
      <c r="AL87" s="62">
        <v>11</v>
      </c>
      <c r="AM87" s="62" t="s">
        <v>56</v>
      </c>
      <c r="AN87" s="62"/>
      <c r="AO87" s="29"/>
      <c r="AP87" s="62"/>
      <c r="AQ87" s="62"/>
      <c r="AR87" s="62"/>
      <c r="AS87" s="62"/>
      <c r="AT87" s="62"/>
      <c r="AU87" s="62"/>
      <c r="AV87" s="62"/>
      <c r="AW87" s="62"/>
      <c r="AX87" s="62"/>
      <c r="AY87" s="62"/>
      <c r="AZ87" s="62"/>
      <c r="BA87" s="62"/>
      <c r="BB87" s="62"/>
      <c r="BC87" s="62"/>
      <c r="BD87" s="62"/>
      <c r="BE87" s="62"/>
      <c r="BF87" s="62"/>
      <c r="BG87" s="62"/>
      <c r="BH87" s="62"/>
      <c r="BI87" s="62"/>
    </row>
    <row r="88" spans="18:61" ht="12.75" hidden="1">
      <c r="R88" s="29"/>
      <c r="S88" s="29"/>
      <c r="T88" s="29"/>
      <c r="U88" s="29"/>
      <c r="Y88" s="62" t="str">
        <f>TRIM(AE81&amp;" "&amp;AF81&amp;" "&amp;AG81&amp;" "&amp;AH81&amp;" "&amp;AI81)</f>
        <v>Eighty Seven</v>
      </c>
      <c r="Z88" s="62"/>
      <c r="AA88" s="62"/>
      <c r="AB88" s="62"/>
      <c r="AC88" s="62"/>
      <c r="AD88" s="62"/>
      <c r="AE88" s="62"/>
      <c r="AF88" s="62"/>
      <c r="AG88" s="62"/>
      <c r="AH88" s="62"/>
      <c r="AI88" s="62"/>
      <c r="AJ88" s="62"/>
      <c r="AK88" s="62"/>
      <c r="AL88" s="62">
        <v>12</v>
      </c>
      <c r="AM88" s="62" t="s">
        <v>57</v>
      </c>
      <c r="AN88" s="62"/>
      <c r="AO88" s="29"/>
      <c r="AP88" s="62"/>
      <c r="AQ88" s="62"/>
      <c r="AR88" s="62"/>
      <c r="AS88" s="62"/>
      <c r="AT88" s="62"/>
      <c r="AU88" s="62"/>
      <c r="AV88" s="62"/>
      <c r="AW88" s="62"/>
      <c r="AX88" s="62"/>
      <c r="AY88" s="62"/>
      <c r="AZ88" s="62"/>
      <c r="BA88" s="62"/>
      <c r="BB88" s="62"/>
      <c r="BC88" s="62"/>
      <c r="BD88" s="62"/>
      <c r="BE88" s="62"/>
      <c r="BF88" s="62"/>
      <c r="BG88" s="62"/>
      <c r="BH88" s="62"/>
      <c r="BI88" s="62"/>
    </row>
    <row r="89" spans="18:61" ht="12.75" hidden="1">
      <c r="R89" s="29"/>
      <c r="S89" s="29"/>
      <c r="T89" s="29"/>
      <c r="U89" s="29"/>
      <c r="Y89" s="62" t="str">
        <f>IF(Y77&gt;0,TRIM(Y85&amp;" "&amp;Y86&amp;" "&amp;Y87&amp;" "&amp;Y88)&amp;" only","Zero only")</f>
        <v>Eleven thousand Four hundred Eighty Seven only</v>
      </c>
      <c r="Z89" s="62"/>
      <c r="AA89" s="62"/>
      <c r="AB89" s="62"/>
      <c r="AC89" s="62"/>
      <c r="AD89" s="62"/>
      <c r="AE89" s="62"/>
      <c r="AF89" s="62"/>
      <c r="AG89" s="62"/>
      <c r="AH89" s="62"/>
      <c r="AI89" s="62"/>
      <c r="AJ89" s="62"/>
      <c r="AK89" s="62"/>
      <c r="AL89" s="62">
        <v>13</v>
      </c>
      <c r="AM89" s="62" t="s">
        <v>58</v>
      </c>
      <c r="AN89" s="62"/>
      <c r="AO89" s="29"/>
      <c r="AP89" s="62"/>
      <c r="AQ89" s="62"/>
      <c r="AR89" s="62"/>
      <c r="AS89" s="62"/>
      <c r="AT89" s="62"/>
      <c r="AU89" s="62"/>
      <c r="AV89" s="62"/>
      <c r="AW89" s="62"/>
      <c r="AX89" s="62"/>
      <c r="AY89" s="62"/>
      <c r="AZ89" s="62"/>
      <c r="BA89" s="62"/>
      <c r="BB89" s="62"/>
      <c r="BC89" s="62"/>
      <c r="BD89" s="62"/>
      <c r="BE89" s="62"/>
      <c r="BF89" s="62"/>
      <c r="BG89" s="62"/>
      <c r="BH89" s="62"/>
      <c r="BI89" s="62"/>
    </row>
    <row r="90" spans="18:61" ht="12.75" hidden="1">
      <c r="R90" s="29"/>
      <c r="S90" s="29"/>
      <c r="T90" s="29"/>
      <c r="U90" s="29"/>
      <c r="Y90" s="62"/>
      <c r="Z90" s="62"/>
      <c r="AA90" s="62"/>
      <c r="AB90" s="62"/>
      <c r="AC90" s="62"/>
      <c r="AD90" s="62"/>
      <c r="AE90" s="62"/>
      <c r="AF90" s="62"/>
      <c r="AG90" s="62"/>
      <c r="AH90" s="62"/>
      <c r="AI90" s="62"/>
      <c r="AJ90" s="62"/>
      <c r="AK90" s="62"/>
      <c r="AL90" s="62">
        <v>14</v>
      </c>
      <c r="AM90" s="62" t="s">
        <v>59</v>
      </c>
      <c r="AN90" s="62"/>
      <c r="AO90" s="29"/>
      <c r="AP90" s="62"/>
      <c r="AQ90" s="62"/>
      <c r="AR90" s="62"/>
      <c r="AS90" s="62"/>
      <c r="AT90" s="62"/>
      <c r="AU90" s="62"/>
      <c r="AV90" s="62"/>
      <c r="AW90" s="62"/>
      <c r="AX90" s="62"/>
      <c r="AY90" s="62"/>
      <c r="AZ90" s="62"/>
      <c r="BA90" s="62"/>
      <c r="BB90" s="62"/>
      <c r="BC90" s="62"/>
      <c r="BD90" s="62"/>
      <c r="BE90" s="62"/>
      <c r="BF90" s="62"/>
      <c r="BG90" s="62"/>
      <c r="BH90" s="62"/>
      <c r="BI90" s="62"/>
    </row>
    <row r="91" spans="18:61" ht="12.75" hidden="1">
      <c r="R91" s="29"/>
      <c r="S91" s="29"/>
      <c r="T91" s="29"/>
      <c r="U91" s="29"/>
      <c r="Y91" s="62"/>
      <c r="Z91" s="62"/>
      <c r="AA91" s="62"/>
      <c r="AB91" s="62"/>
      <c r="AC91" s="62"/>
      <c r="AD91" s="62"/>
      <c r="AE91" s="62"/>
      <c r="AF91" s="62"/>
      <c r="AG91" s="62"/>
      <c r="AH91" s="62"/>
      <c r="AI91" s="62"/>
      <c r="AJ91" s="62"/>
      <c r="AK91" s="62"/>
      <c r="AL91" s="62">
        <v>15</v>
      </c>
      <c r="AM91" s="62" t="s">
        <v>60</v>
      </c>
      <c r="AN91" s="62"/>
      <c r="AO91" s="29"/>
      <c r="AP91" s="62"/>
      <c r="AQ91" s="62"/>
      <c r="AR91" s="62"/>
      <c r="AS91" s="62"/>
      <c r="AT91" s="62"/>
      <c r="AU91" s="62"/>
      <c r="AV91" s="62"/>
      <c r="AW91" s="62"/>
      <c r="AX91" s="62"/>
      <c r="AY91" s="62"/>
      <c r="AZ91" s="62"/>
      <c r="BA91" s="62"/>
      <c r="BB91" s="62"/>
      <c r="BC91" s="62"/>
      <c r="BD91" s="62"/>
      <c r="BE91" s="62"/>
      <c r="BF91" s="62"/>
      <c r="BG91" s="62"/>
      <c r="BH91" s="62"/>
      <c r="BI91" s="62"/>
    </row>
    <row r="92" spans="18:61" ht="12.75" hidden="1">
      <c r="R92" s="29"/>
      <c r="S92" s="29"/>
      <c r="T92" s="29"/>
      <c r="U92" s="29"/>
      <c r="Y92" s="62"/>
      <c r="Z92" s="62"/>
      <c r="AA92" s="62"/>
      <c r="AB92" s="62"/>
      <c r="AC92" s="62"/>
      <c r="AD92" s="62"/>
      <c r="AE92" s="62"/>
      <c r="AF92" s="62"/>
      <c r="AG92" s="62"/>
      <c r="AH92" s="62"/>
      <c r="AI92" s="62"/>
      <c r="AJ92" s="62"/>
      <c r="AK92" s="62"/>
      <c r="AL92" s="62">
        <v>16</v>
      </c>
      <c r="AM92" s="62" t="s">
        <v>61</v>
      </c>
      <c r="AN92" s="62"/>
      <c r="AO92" s="29"/>
      <c r="AP92" s="62"/>
      <c r="AQ92" s="62"/>
      <c r="AR92" s="62"/>
      <c r="AS92" s="62"/>
      <c r="AT92" s="62"/>
      <c r="AU92" s="62"/>
      <c r="AV92" s="62"/>
      <c r="AW92" s="62"/>
      <c r="AX92" s="62"/>
      <c r="AY92" s="62"/>
      <c r="AZ92" s="62"/>
      <c r="BA92" s="62"/>
      <c r="BB92" s="62"/>
      <c r="BC92" s="62"/>
      <c r="BD92" s="62"/>
      <c r="BE92" s="62"/>
      <c r="BF92" s="62"/>
      <c r="BG92" s="62"/>
      <c r="BH92" s="62"/>
      <c r="BI92" s="62"/>
    </row>
    <row r="93" spans="18:61" ht="12.75" hidden="1">
      <c r="R93" s="29"/>
      <c r="S93" s="29"/>
      <c r="T93" s="29"/>
      <c r="U93" s="29"/>
      <c r="Y93" s="62"/>
      <c r="Z93" s="62"/>
      <c r="AA93" s="62"/>
      <c r="AB93" s="62"/>
      <c r="AC93" s="62"/>
      <c r="AD93" s="62"/>
      <c r="AE93" s="62"/>
      <c r="AF93" s="62"/>
      <c r="AG93" s="62"/>
      <c r="AH93" s="62"/>
      <c r="AI93" s="62"/>
      <c r="AJ93" s="62"/>
      <c r="AK93" s="62"/>
      <c r="AL93" s="62">
        <v>17</v>
      </c>
      <c r="AM93" s="62" t="s">
        <v>62</v>
      </c>
      <c r="AN93" s="62"/>
      <c r="AO93" s="29"/>
      <c r="AP93" s="62"/>
      <c r="AQ93" s="62"/>
      <c r="AR93" s="62"/>
      <c r="AS93" s="62"/>
      <c r="AT93" s="62"/>
      <c r="AU93" s="62"/>
      <c r="AV93" s="62"/>
      <c r="AW93" s="62"/>
      <c r="AX93" s="62"/>
      <c r="AY93" s="62"/>
      <c r="AZ93" s="62"/>
      <c r="BA93" s="62"/>
      <c r="BB93" s="62"/>
      <c r="BC93" s="62"/>
      <c r="BD93" s="62"/>
      <c r="BE93" s="62"/>
      <c r="BF93" s="62"/>
      <c r="BG93" s="62"/>
      <c r="BH93" s="62"/>
      <c r="BI93" s="62"/>
    </row>
    <row r="94" spans="18:61" ht="12.75" hidden="1">
      <c r="R94" s="29"/>
      <c r="S94" s="29"/>
      <c r="T94" s="29"/>
      <c r="U94" s="29"/>
      <c r="Y94" s="62"/>
      <c r="Z94" s="62"/>
      <c r="AA94" s="62"/>
      <c r="AB94" s="62"/>
      <c r="AC94" s="62"/>
      <c r="AD94" s="62"/>
      <c r="AE94" s="62"/>
      <c r="AF94" s="62"/>
      <c r="AG94" s="62"/>
      <c r="AH94" s="62"/>
      <c r="AI94" s="62"/>
      <c r="AJ94" s="62"/>
      <c r="AK94" s="62"/>
      <c r="AL94" s="62">
        <v>18</v>
      </c>
      <c r="AM94" s="62" t="s">
        <v>63</v>
      </c>
      <c r="AN94" s="62"/>
      <c r="AO94" s="29"/>
      <c r="AP94" s="62"/>
      <c r="AQ94" s="62"/>
      <c r="AR94" s="62"/>
      <c r="AS94" s="62"/>
      <c r="AT94" s="62"/>
      <c r="AU94" s="62"/>
      <c r="AV94" s="62"/>
      <c r="AW94" s="62"/>
      <c r="AX94" s="62"/>
      <c r="AY94" s="62"/>
      <c r="AZ94" s="62"/>
      <c r="BA94" s="62"/>
      <c r="BB94" s="62"/>
      <c r="BC94" s="62"/>
      <c r="BD94" s="62"/>
      <c r="BE94" s="62"/>
      <c r="BF94" s="62"/>
      <c r="BG94" s="62"/>
      <c r="BH94" s="62"/>
      <c r="BI94" s="62"/>
    </row>
    <row r="95" spans="18:61" ht="12.75" hidden="1">
      <c r="R95" s="29"/>
      <c r="S95" s="29"/>
      <c r="T95" s="29"/>
      <c r="U95" s="29"/>
      <c r="Y95" s="62"/>
      <c r="Z95" s="62"/>
      <c r="AA95" s="62"/>
      <c r="AB95" s="62"/>
      <c r="AC95" s="62"/>
      <c r="AD95" s="62"/>
      <c r="AE95" s="62"/>
      <c r="AF95" s="62"/>
      <c r="AG95" s="62"/>
      <c r="AH95" s="62"/>
      <c r="AI95" s="62"/>
      <c r="AJ95" s="62"/>
      <c r="AK95" s="62"/>
      <c r="AL95" s="62">
        <v>19</v>
      </c>
      <c r="AM95" s="62" t="s">
        <v>64</v>
      </c>
      <c r="AN95" s="62"/>
      <c r="AO95" s="29"/>
      <c r="AP95" s="62"/>
      <c r="AQ95" s="62"/>
      <c r="AR95" s="62"/>
      <c r="AS95" s="62"/>
      <c r="AT95" s="62"/>
      <c r="AU95" s="62"/>
      <c r="AV95" s="62"/>
      <c r="AW95" s="62"/>
      <c r="AX95" s="62"/>
      <c r="AY95" s="62"/>
      <c r="AZ95" s="62"/>
      <c r="BA95" s="62"/>
      <c r="BB95" s="62"/>
      <c r="BC95" s="62"/>
      <c r="BD95" s="62"/>
      <c r="BE95" s="62"/>
      <c r="BF95" s="62"/>
      <c r="BG95" s="62"/>
      <c r="BH95" s="62"/>
      <c r="BI95" s="62"/>
    </row>
    <row r="96" spans="18:61" ht="12.75" hidden="1">
      <c r="R96" s="29"/>
      <c r="S96" s="29"/>
      <c r="T96" s="29"/>
      <c r="U96" s="29"/>
      <c r="Y96" s="62"/>
      <c r="Z96" s="62"/>
      <c r="AA96" s="62"/>
      <c r="AB96" s="62"/>
      <c r="AC96" s="62"/>
      <c r="AD96" s="62"/>
      <c r="AE96" s="62"/>
      <c r="AF96" s="62"/>
      <c r="AG96" s="62"/>
      <c r="AH96" s="62"/>
      <c r="AI96" s="62"/>
      <c r="AJ96" s="62"/>
      <c r="AK96" s="62"/>
      <c r="AL96" s="62">
        <v>20</v>
      </c>
      <c r="AM96" s="62" t="s">
        <v>40</v>
      </c>
      <c r="AN96" s="62"/>
      <c r="AO96" s="29"/>
      <c r="AP96" s="62"/>
      <c r="AQ96" s="62"/>
      <c r="AR96" s="62"/>
      <c r="AS96" s="62"/>
      <c r="AT96" s="62"/>
      <c r="AU96" s="62"/>
      <c r="AV96" s="62"/>
      <c r="AW96" s="62"/>
      <c r="AX96" s="62"/>
      <c r="AY96" s="62"/>
      <c r="AZ96" s="62"/>
      <c r="BA96" s="62"/>
      <c r="BB96" s="62"/>
      <c r="BC96" s="62"/>
      <c r="BD96" s="62"/>
      <c r="BE96" s="62"/>
      <c r="BF96" s="62"/>
      <c r="BG96" s="62"/>
      <c r="BH96" s="62"/>
      <c r="BI96" s="62"/>
    </row>
    <row r="97" spans="18:61" ht="12.75" hidden="1">
      <c r="R97" s="29"/>
      <c r="S97" s="29"/>
      <c r="T97" s="29"/>
      <c r="U97" s="29"/>
      <c r="Y97" s="62"/>
      <c r="Z97" s="62"/>
      <c r="AA97" s="62"/>
      <c r="AB97" s="62"/>
      <c r="AC97" s="62"/>
      <c r="AD97" s="62"/>
      <c r="AE97" s="62"/>
      <c r="AF97" s="62"/>
      <c r="AG97" s="62"/>
      <c r="AH97" s="62"/>
      <c r="AI97" s="62"/>
      <c r="AJ97" s="62"/>
      <c r="AK97" s="62"/>
      <c r="AL97" s="62">
        <v>30</v>
      </c>
      <c r="AM97" s="62" t="s">
        <v>42</v>
      </c>
      <c r="AN97" s="62"/>
      <c r="AO97" s="29"/>
      <c r="AP97" s="62"/>
      <c r="AQ97" s="62"/>
      <c r="AR97" s="62"/>
      <c r="AS97" s="62"/>
      <c r="AT97" s="62"/>
      <c r="AU97" s="62"/>
      <c r="AV97" s="62"/>
      <c r="AW97" s="62"/>
      <c r="AX97" s="62"/>
      <c r="AY97" s="62"/>
      <c r="AZ97" s="62"/>
      <c r="BA97" s="62"/>
      <c r="BB97" s="62"/>
      <c r="BC97" s="62"/>
      <c r="BD97" s="62"/>
      <c r="BE97" s="62"/>
      <c r="BF97" s="62"/>
      <c r="BG97" s="62"/>
      <c r="BH97" s="62"/>
      <c r="BI97" s="62"/>
    </row>
    <row r="98" spans="18:61" ht="12.75" hidden="1">
      <c r="R98" s="29"/>
      <c r="S98" s="29"/>
      <c r="T98" s="29"/>
      <c r="U98" s="29"/>
      <c r="Y98" s="62"/>
      <c r="Z98" s="62"/>
      <c r="AA98" s="62"/>
      <c r="AB98" s="62"/>
      <c r="AC98" s="62"/>
      <c r="AD98" s="62"/>
      <c r="AE98" s="62"/>
      <c r="AF98" s="62"/>
      <c r="AG98" s="62"/>
      <c r="AH98" s="62"/>
      <c r="AI98" s="62"/>
      <c r="AJ98" s="62"/>
      <c r="AK98" s="62"/>
      <c r="AL98" s="62">
        <v>40</v>
      </c>
      <c r="AM98" s="62" t="s">
        <v>44</v>
      </c>
      <c r="AN98" s="62"/>
      <c r="AO98" s="29"/>
      <c r="AP98" s="62"/>
      <c r="AQ98" s="62"/>
      <c r="AR98" s="62"/>
      <c r="AS98" s="62"/>
      <c r="AT98" s="62"/>
      <c r="AU98" s="62"/>
      <c r="AV98" s="62"/>
      <c r="AW98" s="62"/>
      <c r="AX98" s="62"/>
      <c r="AY98" s="62"/>
      <c r="AZ98" s="62"/>
      <c r="BA98" s="62"/>
      <c r="BB98" s="62"/>
      <c r="BC98" s="62"/>
      <c r="BD98" s="62"/>
      <c r="BE98" s="62"/>
      <c r="BF98" s="62"/>
      <c r="BG98" s="62"/>
      <c r="BH98" s="62"/>
      <c r="BI98" s="62"/>
    </row>
    <row r="99" spans="18:61" ht="12.75" hidden="1">
      <c r="R99" s="29"/>
      <c r="S99" s="29"/>
      <c r="T99" s="29"/>
      <c r="U99" s="29"/>
      <c r="Y99" s="62"/>
      <c r="Z99" s="62"/>
      <c r="AA99" s="62"/>
      <c r="AB99" s="62"/>
      <c r="AC99" s="62"/>
      <c r="AD99" s="62"/>
      <c r="AE99" s="62"/>
      <c r="AF99" s="62"/>
      <c r="AG99" s="62"/>
      <c r="AH99" s="62"/>
      <c r="AI99" s="62"/>
      <c r="AJ99" s="62"/>
      <c r="AK99" s="62"/>
      <c r="AL99" s="62">
        <v>50</v>
      </c>
      <c r="AM99" s="62" t="s">
        <v>46</v>
      </c>
      <c r="AN99" s="62"/>
      <c r="AO99" s="29"/>
      <c r="AP99" s="62"/>
      <c r="AQ99" s="62"/>
      <c r="AR99" s="62"/>
      <c r="AS99" s="62"/>
      <c r="AT99" s="62"/>
      <c r="AU99" s="62"/>
      <c r="AV99" s="62"/>
      <c r="AW99" s="62"/>
      <c r="AX99" s="62"/>
      <c r="AY99" s="62"/>
      <c r="AZ99" s="62"/>
      <c r="BA99" s="62"/>
      <c r="BB99" s="62"/>
      <c r="BC99" s="62"/>
      <c r="BD99" s="62"/>
      <c r="BE99" s="62"/>
      <c r="BF99" s="62"/>
      <c r="BG99" s="62"/>
      <c r="BH99" s="62"/>
      <c r="BI99" s="62"/>
    </row>
    <row r="100" spans="18:61" ht="12.75" hidden="1">
      <c r="R100" s="29"/>
      <c r="S100" s="29"/>
      <c r="T100" s="29"/>
      <c r="U100" s="29"/>
      <c r="Y100" s="62"/>
      <c r="Z100" s="62"/>
      <c r="AA100" s="62"/>
      <c r="AB100" s="62"/>
      <c r="AC100" s="62"/>
      <c r="AD100" s="62"/>
      <c r="AE100" s="62"/>
      <c r="AF100" s="62"/>
      <c r="AG100" s="62"/>
      <c r="AH100" s="62"/>
      <c r="AI100" s="62"/>
      <c r="AJ100" s="62"/>
      <c r="AK100" s="62"/>
      <c r="AL100" s="62">
        <v>60</v>
      </c>
      <c r="AM100" s="62" t="s">
        <v>48</v>
      </c>
      <c r="AN100" s="62"/>
      <c r="AO100" s="29"/>
      <c r="AP100" s="62"/>
      <c r="AQ100" s="62"/>
      <c r="AR100" s="62"/>
      <c r="AS100" s="62"/>
      <c r="AT100" s="62"/>
      <c r="AU100" s="62"/>
      <c r="AV100" s="62"/>
      <c r="AW100" s="62"/>
      <c r="AX100" s="62"/>
      <c r="AY100" s="62"/>
      <c r="AZ100" s="62"/>
      <c r="BA100" s="62"/>
      <c r="BB100" s="62"/>
      <c r="BC100" s="62"/>
      <c r="BD100" s="62"/>
      <c r="BE100" s="62"/>
      <c r="BF100" s="62"/>
      <c r="BG100" s="62"/>
      <c r="BH100" s="62"/>
      <c r="BI100" s="62"/>
    </row>
    <row r="101" spans="18:61" ht="12.75" hidden="1">
      <c r="R101" s="29"/>
      <c r="S101" s="29"/>
      <c r="T101" s="29"/>
      <c r="U101" s="29"/>
      <c r="Y101" s="62"/>
      <c r="Z101" s="62"/>
      <c r="AA101" s="62"/>
      <c r="AB101" s="62"/>
      <c r="AC101" s="62"/>
      <c r="AD101" s="62"/>
      <c r="AE101" s="62"/>
      <c r="AF101" s="62"/>
      <c r="AG101" s="62"/>
      <c r="AH101" s="62"/>
      <c r="AI101" s="62"/>
      <c r="AJ101" s="62"/>
      <c r="AK101" s="62"/>
      <c r="AL101" s="62">
        <v>70</v>
      </c>
      <c r="AM101" s="62" t="s">
        <v>50</v>
      </c>
      <c r="AN101" s="62"/>
      <c r="AO101" s="29"/>
      <c r="AP101" s="62"/>
      <c r="AQ101" s="62"/>
      <c r="AR101" s="62"/>
      <c r="AS101" s="62"/>
      <c r="AT101" s="62"/>
      <c r="AU101" s="62"/>
      <c r="AV101" s="62"/>
      <c r="AW101" s="62"/>
      <c r="AX101" s="62"/>
      <c r="AY101" s="62"/>
      <c r="AZ101" s="62"/>
      <c r="BA101" s="62"/>
      <c r="BB101" s="62"/>
      <c r="BC101" s="62"/>
      <c r="BD101" s="62"/>
      <c r="BE101" s="62"/>
      <c r="BF101" s="62"/>
      <c r="BG101" s="62"/>
      <c r="BH101" s="62"/>
      <c r="BI101" s="62"/>
    </row>
    <row r="102" spans="18:61" ht="12.75" hidden="1">
      <c r="R102" s="29"/>
      <c r="S102" s="29"/>
      <c r="T102" s="29"/>
      <c r="U102" s="29"/>
      <c r="Y102" s="62"/>
      <c r="Z102" s="62"/>
      <c r="AA102" s="62"/>
      <c r="AB102" s="62"/>
      <c r="AC102" s="62"/>
      <c r="AD102" s="62"/>
      <c r="AE102" s="62"/>
      <c r="AF102" s="62"/>
      <c r="AG102" s="62"/>
      <c r="AH102" s="62"/>
      <c r="AI102" s="62"/>
      <c r="AJ102" s="62"/>
      <c r="AK102" s="62"/>
      <c r="AL102" s="62">
        <v>80</v>
      </c>
      <c r="AM102" s="62" t="s">
        <v>52</v>
      </c>
      <c r="AN102" s="62"/>
      <c r="AO102" s="29"/>
      <c r="AP102" s="62"/>
      <c r="AQ102" s="62"/>
      <c r="AR102" s="62"/>
      <c r="AS102" s="62"/>
      <c r="AT102" s="62"/>
      <c r="AU102" s="62"/>
      <c r="AV102" s="62"/>
      <c r="AW102" s="62"/>
      <c r="AX102" s="62"/>
      <c r="AY102" s="62"/>
      <c r="AZ102" s="62"/>
      <c r="BA102" s="62"/>
      <c r="BB102" s="62"/>
      <c r="BC102" s="62"/>
      <c r="BD102" s="62"/>
      <c r="BE102" s="62"/>
      <c r="BF102" s="62"/>
      <c r="BG102" s="62"/>
      <c r="BH102" s="62"/>
      <c r="BI102" s="62"/>
    </row>
    <row r="103" spans="18:61" ht="12.75" hidden="1">
      <c r="R103" s="29"/>
      <c r="S103" s="29"/>
      <c r="T103" s="29"/>
      <c r="U103" s="29"/>
      <c r="Y103" s="62"/>
      <c r="Z103" s="62"/>
      <c r="AA103" s="62"/>
      <c r="AB103" s="62"/>
      <c r="AC103" s="62"/>
      <c r="AD103" s="62"/>
      <c r="AE103" s="62"/>
      <c r="AF103" s="62"/>
      <c r="AG103" s="62"/>
      <c r="AH103" s="62"/>
      <c r="AI103" s="62"/>
      <c r="AJ103" s="62"/>
      <c r="AK103" s="62"/>
      <c r="AL103" s="62">
        <v>90</v>
      </c>
      <c r="AM103" s="62" t="s">
        <v>54</v>
      </c>
      <c r="AN103" s="62"/>
      <c r="AO103" s="29"/>
      <c r="AP103" s="62"/>
      <c r="AQ103" s="62"/>
      <c r="AR103" s="62"/>
      <c r="AS103" s="62"/>
      <c r="AT103" s="62"/>
      <c r="AU103" s="62"/>
      <c r="AV103" s="62"/>
      <c r="AW103" s="62"/>
      <c r="AX103" s="62"/>
      <c r="AY103" s="62"/>
      <c r="AZ103" s="62"/>
      <c r="BA103" s="62"/>
      <c r="BB103" s="62"/>
      <c r="BC103" s="62"/>
      <c r="BD103" s="62"/>
      <c r="BE103" s="62"/>
      <c r="BF103" s="62"/>
      <c r="BG103" s="62"/>
      <c r="BH103" s="62"/>
      <c r="BI103" s="62"/>
    </row>
    <row r="104" spans="18:37" ht="12.75" hidden="1">
      <c r="R104" s="29"/>
      <c r="S104" s="29"/>
      <c r="T104" s="29"/>
      <c r="U104" s="29"/>
      <c r="Y104" s="29"/>
      <c r="Z104" s="29"/>
      <c r="AA104" s="29"/>
      <c r="AB104" s="29"/>
      <c r="AC104" s="29"/>
      <c r="AD104" s="29"/>
      <c r="AE104" s="29"/>
      <c r="AF104" s="29"/>
      <c r="AG104" s="29"/>
      <c r="AH104" s="29"/>
      <c r="AI104" s="29"/>
      <c r="AJ104" s="29"/>
      <c r="AK104" s="29"/>
    </row>
    <row r="105" spans="18:40" ht="12.75" hidden="1">
      <c r="R105" s="29"/>
      <c r="S105" s="29"/>
      <c r="T105" s="29"/>
      <c r="U105" s="29"/>
      <c r="Y105" s="194">
        <f>Y77+1</f>
        <v>11488</v>
      </c>
      <c r="Z105" s="62">
        <f>(Y105-Y108)/1000</f>
        <v>11</v>
      </c>
      <c r="AA105" s="62"/>
      <c r="AB105" s="62"/>
      <c r="AC105" s="62"/>
      <c r="AD105" s="62"/>
      <c r="AE105" s="62"/>
      <c r="AF105" s="62"/>
      <c r="AG105" s="62"/>
      <c r="AH105" s="62"/>
      <c r="AI105" s="62"/>
      <c r="AJ105" s="62"/>
      <c r="AK105" s="62"/>
      <c r="AL105" s="62">
        <v>1</v>
      </c>
      <c r="AM105" s="62" t="s">
        <v>38</v>
      </c>
      <c r="AN105" s="62"/>
    </row>
    <row r="106" spans="18:40" ht="12.75" hidden="1">
      <c r="R106" s="29"/>
      <c r="S106" s="29"/>
      <c r="T106" s="29"/>
      <c r="U106" s="29"/>
      <c r="Y106" s="62">
        <f>(Z105-Y107)/100</f>
        <v>0</v>
      </c>
      <c r="Z106" s="62">
        <f>Y106</f>
        <v>0</v>
      </c>
      <c r="AA106" s="62">
        <f>RIGHT(Z106,2)*1</f>
        <v>0</v>
      </c>
      <c r="AB106" s="62">
        <f>(Z106-AA106)/100</f>
        <v>0</v>
      </c>
      <c r="AC106" s="62">
        <f>(AA106-RIGHT(AA106,1)*1)/10</f>
        <v>0</v>
      </c>
      <c r="AD106" s="62">
        <f>RIGHT(Z106,1)*1</f>
        <v>0</v>
      </c>
      <c r="AE106" s="62" t="str">
        <f>IF(AC106=AL106,AN106,IF(AC106=AL107,AN107,IF(AC106=AL108,AN108,IF(AC106=AL109,AN109,IF(AC106=AL110,AN110,IF(AC106=AL111,AN111,IF(AC106=AL112,AN112,IF(AC106=AL113,AN113," "))))))))</f>
        <v> </v>
      </c>
      <c r="AF106" s="62" t="str">
        <f>IF(AC106=1," ",IF(AD106=AL105,AM105,IF(AD106=AL106,AM106,IF(AD106=AL107,AM107,IF(AD106=AL108,AM108,IF(AD106=AL109,AM109,IF(AD106=AL110,AM110," ")))))))</f>
        <v> </v>
      </c>
      <c r="AG106" s="62" t="str">
        <f>IF(AC106=1," ",IF(AD106=AL111,AM111,IF(AD106=AL112,AM112,IF(AD106=AL113,AM113," "))))</f>
        <v> </v>
      </c>
      <c r="AH106" s="62" t="str">
        <f>IF(AC106=0," ",IF(AC106&gt;1," ",IF(AD106=AL106,AM116,IF(AD106=AL107,AM117,IF(AD106=AL108,AM118,IF(AD106=AL109,AM119,IF(AD106=AL110,AM120,IF(AD106=AL111,AM121," "))))))))</f>
        <v> </v>
      </c>
      <c r="AI106" s="62" t="str">
        <f>IF(AC106=0," ",IF(AC106&gt;1," ",IF(AD106=AL112,AM122,IF(AD106=AL113,AM123,IF(AD106=AL105,AM115,IF(AD106=0,AM114," "))))))</f>
        <v> </v>
      </c>
      <c r="AJ106" s="62" t="str">
        <f>IF(AC106=0," ","lakh")</f>
        <v> </v>
      </c>
      <c r="AK106" s="62" t="str">
        <f>IF(AD106=0," ",IF(AC106&gt;0," ","lakh"))</f>
        <v> </v>
      </c>
      <c r="AL106" s="62">
        <v>2</v>
      </c>
      <c r="AM106" s="62" t="s">
        <v>39</v>
      </c>
      <c r="AN106" s="62" t="s">
        <v>40</v>
      </c>
    </row>
    <row r="107" spans="18:40" ht="12.75" hidden="1">
      <c r="R107" s="29"/>
      <c r="S107" s="29"/>
      <c r="T107" s="29"/>
      <c r="U107" s="29"/>
      <c r="Y107" s="62">
        <f>RIGHT(Z105,2)*1</f>
        <v>11</v>
      </c>
      <c r="Z107" s="62">
        <f>Y107</f>
        <v>11</v>
      </c>
      <c r="AA107" s="62">
        <f>RIGHT(Z107,2)*1</f>
        <v>11</v>
      </c>
      <c r="AB107" s="62">
        <f>(Z107-AA107)/100</f>
        <v>0</v>
      </c>
      <c r="AC107" s="62">
        <f>(AA107-RIGHT(AA107,1)*1)/10</f>
        <v>1</v>
      </c>
      <c r="AD107" s="62">
        <f>RIGHT(Z107,1)*1</f>
        <v>1</v>
      </c>
      <c r="AE107" s="62" t="str">
        <f>IF(AC107=AL106,AN106,IF(AC107=AL107,AN107,IF(AC107=AL108,AN108,IF(AC107=AL109,AN109,IF(AC107=AL110,AN110,IF(AC107=AL111,AN111,IF(AC107=AL112,AN112,IF(AC107=AL113,AN113," "))))))))</f>
        <v> </v>
      </c>
      <c r="AF107" s="62" t="str">
        <f>IF(AC107=1," ",IF(AD107=AL105,AM105,IF(AD107=AL106,AM106,IF(AD107=AL107,AM107,IF(AD107=AL108,AM108,IF(AD107=AL109,AM109,IF(AD107=AL110,AM110," ")))))))</f>
        <v> </v>
      </c>
      <c r="AG107" s="62" t="str">
        <f>IF(AC107=1," ",IF(AD107=AL111,AM111,IF(AD107=AL112,AM112,IF(AD107=AL113,AM113," "))))</f>
        <v> </v>
      </c>
      <c r="AH107" s="62" t="str">
        <f>IF(AC107=0," ",IF(AC107&gt;1," ",IF(AD107=AL106,AM116,IF(AD107=AL107,AM117,IF(AD107=AL108,AM118,IF(AD107=AL109,AM119,IF(AD107=AL110,AM120,IF(AD107=AL111,AM121," "))))))))</f>
        <v> </v>
      </c>
      <c r="AI107" s="62" t="str">
        <f>IF(AC107=0," ",IF(AC107&gt;1," ",IF(AD107=AL112,AM122,IF(AD107=AL113,AM123,IF(AD107=AL105,AM115,IF(AD107=0,AM114," "))))))</f>
        <v>Eleven</v>
      </c>
      <c r="AJ107" s="62" t="str">
        <f>IF(AC107=0," ","thousand")</f>
        <v>thousand</v>
      </c>
      <c r="AK107" s="62" t="str">
        <f>IF(AD107=0," ",IF(AC107&gt;0," ","thousand"))</f>
        <v> </v>
      </c>
      <c r="AL107" s="62">
        <v>3</v>
      </c>
      <c r="AM107" s="62" t="s">
        <v>41</v>
      </c>
      <c r="AN107" s="62" t="s">
        <v>42</v>
      </c>
    </row>
    <row r="108" spans="18:40" ht="12.75" hidden="1">
      <c r="R108" s="29"/>
      <c r="S108" s="29"/>
      <c r="T108" s="29"/>
      <c r="U108" s="29"/>
      <c r="Y108" s="62">
        <f>RIGHT(Y105,3)*1</f>
        <v>488</v>
      </c>
      <c r="Z108" s="62">
        <f>Y108</f>
        <v>488</v>
      </c>
      <c r="AA108" s="62">
        <f>ROUND((Z108-AB109)/100,0)</f>
        <v>4</v>
      </c>
      <c r="AB108" s="62"/>
      <c r="AC108" s="62"/>
      <c r="AD108" s="62"/>
      <c r="AE108" s="62"/>
      <c r="AF108" s="62" t="str">
        <f>IF(AA108=0," ",IF(AA108=AL105,AM105,IF(AA108=AL106,AM106,IF(AA108=AL107,AM107,IF(AA108=AL108,AM108,IF(AA108=AL109,AM109,IF(AA108=AL110,AM110," ")))))))</f>
        <v>Four</v>
      </c>
      <c r="AG108" s="62" t="str">
        <f>IF(AA108=0," ",IF(AA108=AL111,AM111,IF(AA108=AL112,AM112,IF(AA108=AL113,AM113," "))))</f>
        <v> </v>
      </c>
      <c r="AH108" s="62"/>
      <c r="AI108" s="62"/>
      <c r="AJ108" s="62" t="str">
        <f>IF(AA108=0," ","hundred")</f>
        <v>hundred</v>
      </c>
      <c r="AK108" s="62"/>
      <c r="AL108" s="62">
        <v>4</v>
      </c>
      <c r="AM108" s="62" t="s">
        <v>43</v>
      </c>
      <c r="AN108" s="62" t="s">
        <v>44</v>
      </c>
    </row>
    <row r="109" spans="18:40" ht="12.75" hidden="1">
      <c r="R109" s="29"/>
      <c r="S109" s="29"/>
      <c r="T109" s="29"/>
      <c r="U109" s="29"/>
      <c r="Y109" s="62"/>
      <c r="Z109" s="62"/>
      <c r="AA109" s="62"/>
      <c r="AB109" s="62">
        <f>RIGHT(Z108,2)*1</f>
        <v>88</v>
      </c>
      <c r="AC109" s="62">
        <f>(AB109-RIGHT(AB109,1)*1)/10</f>
        <v>8</v>
      </c>
      <c r="AD109" s="62">
        <f>RIGHT(Z108,1)*1</f>
        <v>8</v>
      </c>
      <c r="AE109" s="62" t="str">
        <f>IF(AC109=AL106,AN106,IF(AC109=AL107,AN107,IF(AC109=AL108,AN108,IF(AC109=AL109,AN109,IF(AC109=AL110,AN110,IF(AC109=AL111,AN111,IF(AC109=AL112,AN112,IF(AC109=AL113,AN113," "))))))))</f>
        <v>Eighty </v>
      </c>
      <c r="AF109" s="62" t="str">
        <f>IF(AC109=1," ",IF(AD109=AL105,AM105,IF(AD109=AL106,AM106,IF(AD109=AL107,AM107,IF(AD109=AL108,AM108,IF(AD109=AL109,AM109,IF(AD109=AL110,AM110," ")))))))</f>
        <v> </v>
      </c>
      <c r="AG109" s="62" t="str">
        <f>IF(AC109=1," ",IF(AD109=AL111,AM111,IF(AD109=AL112,AM112,IF(AD109=AL113,AM113," "))))</f>
        <v>Eight</v>
      </c>
      <c r="AH109" s="62" t="str">
        <f>IF(AC109=0," ",IF(AC109&gt;1," ",IF(AD109=AL106,AM116,IF(AD109=AL107,AM117,IF(AD109=AL108,AM118,IF(AD109=AL109,AM119,IF(AD109=AL110,AM120,IF(AD109=AL111,AM121," "))))))))</f>
        <v> </v>
      </c>
      <c r="AI109" s="62" t="str">
        <f>IF(AC109=0," ",IF(AC109&gt;1," ",IF(AD109=AL112,AM122,IF(AD109=AL113,AM123,IF(AD109=AL105,AM115,IF(AD109=0,AM114," "))))))</f>
        <v> </v>
      </c>
      <c r="AJ109" s="62"/>
      <c r="AK109" s="62"/>
      <c r="AL109" s="62">
        <v>5</v>
      </c>
      <c r="AM109" s="62" t="s">
        <v>45</v>
      </c>
      <c r="AN109" s="62" t="s">
        <v>46</v>
      </c>
    </row>
    <row r="110" spans="18:40" ht="12.75" hidden="1">
      <c r="R110" s="29"/>
      <c r="S110" s="29"/>
      <c r="T110" s="29"/>
      <c r="U110" s="29"/>
      <c r="Y110" s="62"/>
      <c r="Z110" s="62"/>
      <c r="AA110" s="62"/>
      <c r="AB110" s="62"/>
      <c r="AC110" s="62">
        <f>AC109</f>
        <v>8</v>
      </c>
      <c r="AD110" s="62">
        <f>AD109</f>
        <v>8</v>
      </c>
      <c r="AE110" s="62"/>
      <c r="AF110" s="62"/>
      <c r="AG110" s="62"/>
      <c r="AH110" s="62"/>
      <c r="AI110" s="62"/>
      <c r="AJ110" s="62"/>
      <c r="AK110" s="62"/>
      <c r="AL110" s="62">
        <v>6</v>
      </c>
      <c r="AM110" s="62" t="s">
        <v>47</v>
      </c>
      <c r="AN110" s="62" t="s">
        <v>48</v>
      </c>
    </row>
    <row r="111" spans="18:40" ht="12.75" hidden="1">
      <c r="R111" s="29"/>
      <c r="S111" s="29"/>
      <c r="T111" s="29"/>
      <c r="U111" s="29"/>
      <c r="Y111" s="62"/>
      <c r="Z111" s="62"/>
      <c r="AA111" s="62"/>
      <c r="AB111" s="62"/>
      <c r="AC111" s="62"/>
      <c r="AD111" s="62"/>
      <c r="AE111" s="62"/>
      <c r="AF111" s="62"/>
      <c r="AG111" s="62"/>
      <c r="AH111" s="62"/>
      <c r="AI111" s="62"/>
      <c r="AJ111" s="62"/>
      <c r="AK111" s="62"/>
      <c r="AL111" s="62">
        <v>7</v>
      </c>
      <c r="AM111" s="62" t="s">
        <v>49</v>
      </c>
      <c r="AN111" s="62" t="s">
        <v>50</v>
      </c>
    </row>
    <row r="112" spans="18:40" ht="12.75" hidden="1">
      <c r="R112" s="29"/>
      <c r="S112" s="29"/>
      <c r="T112" s="29"/>
      <c r="U112" s="29"/>
      <c r="Y112" s="62"/>
      <c r="Z112" s="62"/>
      <c r="AA112" s="62"/>
      <c r="AB112" s="62"/>
      <c r="AC112" s="62"/>
      <c r="AD112" s="62"/>
      <c r="AE112" s="62"/>
      <c r="AF112" s="62"/>
      <c r="AG112" s="62"/>
      <c r="AH112" s="62"/>
      <c r="AI112" s="62"/>
      <c r="AJ112" s="62"/>
      <c r="AK112" s="62"/>
      <c r="AL112" s="62">
        <v>8</v>
      </c>
      <c r="AM112" s="62" t="s">
        <v>51</v>
      </c>
      <c r="AN112" s="62" t="s">
        <v>52</v>
      </c>
    </row>
    <row r="113" spans="18:40" ht="12.75" hidden="1">
      <c r="R113" s="29"/>
      <c r="S113" s="29"/>
      <c r="T113" s="29"/>
      <c r="U113" s="29"/>
      <c r="Y113" s="62">
        <f>TRIM(AE106&amp;" "&amp;AF106&amp;" "&amp;AG106&amp;" "&amp;AH106&amp;" "&amp;AI106&amp;" "&amp;AJ106&amp;" "&amp;AK106)</f>
      </c>
      <c r="Z113" s="62"/>
      <c r="AA113" s="62"/>
      <c r="AB113" s="62"/>
      <c r="AC113" s="62"/>
      <c r="AD113" s="62"/>
      <c r="AE113" s="62"/>
      <c r="AF113" s="62"/>
      <c r="AG113" s="62"/>
      <c r="AH113" s="62"/>
      <c r="AI113" s="62"/>
      <c r="AJ113" s="62"/>
      <c r="AK113" s="62"/>
      <c r="AL113" s="62">
        <v>9</v>
      </c>
      <c r="AM113" s="62" t="s">
        <v>53</v>
      </c>
      <c r="AN113" s="62" t="s">
        <v>54</v>
      </c>
    </row>
    <row r="114" spans="18:40" ht="12.75" hidden="1">
      <c r="R114" s="29"/>
      <c r="S114" s="29"/>
      <c r="T114" s="29"/>
      <c r="U114" s="29"/>
      <c r="Y114" s="62" t="str">
        <f>TRIM(AE107&amp;" "&amp;AF107&amp;" "&amp;AG107&amp;" "&amp;AH107&amp;" "&amp;AI107&amp;" "&amp;AJ107&amp;" "&amp;AK107)</f>
        <v>Eleven thousand</v>
      </c>
      <c r="Z114" s="62"/>
      <c r="AA114" s="62"/>
      <c r="AB114" s="62"/>
      <c r="AC114" s="62"/>
      <c r="AD114" s="62"/>
      <c r="AE114" s="62"/>
      <c r="AF114" s="62"/>
      <c r="AG114" s="62"/>
      <c r="AH114" s="62"/>
      <c r="AI114" s="62"/>
      <c r="AJ114" s="62"/>
      <c r="AK114" s="62"/>
      <c r="AL114" s="62">
        <v>10</v>
      </c>
      <c r="AM114" s="62" t="s">
        <v>55</v>
      </c>
      <c r="AN114" s="62"/>
    </row>
    <row r="115" spans="18:40" ht="12.75" hidden="1">
      <c r="R115" s="29"/>
      <c r="S115" s="29"/>
      <c r="T115" s="29"/>
      <c r="U115" s="29"/>
      <c r="Y115" s="62" t="str">
        <f>TRIM(AE108&amp;" "&amp;AF108&amp;" "&amp;AG108&amp;" "&amp;AH108&amp;" "&amp;AI108&amp;" "&amp;AJ108&amp;" "&amp;AK108)</f>
        <v>Four hundred</v>
      </c>
      <c r="Z115" s="62"/>
      <c r="AA115" s="62"/>
      <c r="AB115" s="62"/>
      <c r="AC115" s="62"/>
      <c r="AD115" s="62"/>
      <c r="AE115" s="62"/>
      <c r="AF115" s="62"/>
      <c r="AG115" s="62"/>
      <c r="AH115" s="62"/>
      <c r="AI115" s="62"/>
      <c r="AJ115" s="62"/>
      <c r="AK115" s="62"/>
      <c r="AL115" s="62">
        <v>11</v>
      </c>
      <c r="AM115" s="62" t="s">
        <v>56</v>
      </c>
      <c r="AN115" s="62"/>
    </row>
    <row r="116" spans="18:40" ht="12.75" hidden="1">
      <c r="R116" s="29"/>
      <c r="S116" s="29"/>
      <c r="T116" s="29"/>
      <c r="U116" s="29"/>
      <c r="Y116" s="62" t="str">
        <f>TRIM(AE109&amp;" "&amp;AF109&amp;" "&amp;AG109&amp;" "&amp;AH109&amp;" "&amp;AI109)</f>
        <v>Eighty Eight</v>
      </c>
      <c r="Z116" s="62"/>
      <c r="AA116" s="62"/>
      <c r="AB116" s="62"/>
      <c r="AC116" s="62"/>
      <c r="AD116" s="62"/>
      <c r="AE116" s="62"/>
      <c r="AF116" s="62"/>
      <c r="AG116" s="62"/>
      <c r="AH116" s="62"/>
      <c r="AI116" s="62"/>
      <c r="AJ116" s="62"/>
      <c r="AK116" s="62"/>
      <c r="AL116" s="62">
        <v>12</v>
      </c>
      <c r="AM116" s="62" t="s">
        <v>57</v>
      </c>
      <c r="AN116" s="62"/>
    </row>
    <row r="117" spans="18:40" ht="12.75" hidden="1">
      <c r="R117" s="29"/>
      <c r="S117" s="29"/>
      <c r="T117" s="29"/>
      <c r="U117" s="29"/>
      <c r="Y117" s="62" t="str">
        <f>IF(Y105&gt;0,TRIM(Y113&amp;" "&amp;Y114&amp;" "&amp;Y115&amp;" "&amp;Y116)&amp;" only","Zero only")</f>
        <v>Eleven thousand Four hundred Eighty Eight only</v>
      </c>
      <c r="Z117" s="62"/>
      <c r="AA117" s="62"/>
      <c r="AB117" s="62"/>
      <c r="AC117" s="62"/>
      <c r="AD117" s="62"/>
      <c r="AE117" s="62"/>
      <c r="AF117" s="62"/>
      <c r="AG117" s="62"/>
      <c r="AH117" s="62"/>
      <c r="AI117" s="62"/>
      <c r="AJ117" s="62"/>
      <c r="AK117" s="62"/>
      <c r="AL117" s="62">
        <v>13</v>
      </c>
      <c r="AM117" s="62" t="s">
        <v>58</v>
      </c>
      <c r="AN117" s="62"/>
    </row>
    <row r="118" spans="18:40" ht="12.75" hidden="1">
      <c r="R118" s="29"/>
      <c r="S118" s="29"/>
      <c r="T118" s="29"/>
      <c r="U118" s="29"/>
      <c r="Y118" s="62"/>
      <c r="Z118" s="62"/>
      <c r="AA118" s="62"/>
      <c r="AB118" s="62"/>
      <c r="AC118" s="62"/>
      <c r="AD118" s="62"/>
      <c r="AE118" s="62"/>
      <c r="AF118" s="62"/>
      <c r="AG118" s="62"/>
      <c r="AH118" s="62"/>
      <c r="AI118" s="62"/>
      <c r="AJ118" s="62"/>
      <c r="AK118" s="62"/>
      <c r="AL118" s="62">
        <v>14</v>
      </c>
      <c r="AM118" s="62" t="s">
        <v>59</v>
      </c>
      <c r="AN118" s="62"/>
    </row>
    <row r="119" spans="18:40" ht="12.75" hidden="1">
      <c r="R119" s="29"/>
      <c r="S119" s="29"/>
      <c r="T119" s="29"/>
      <c r="U119" s="29"/>
      <c r="Y119" s="62"/>
      <c r="Z119" s="62"/>
      <c r="AA119" s="62"/>
      <c r="AB119" s="62"/>
      <c r="AC119" s="62"/>
      <c r="AD119" s="62"/>
      <c r="AE119" s="62"/>
      <c r="AF119" s="62"/>
      <c r="AG119" s="62"/>
      <c r="AH119" s="62"/>
      <c r="AI119" s="62"/>
      <c r="AJ119" s="62"/>
      <c r="AK119" s="62"/>
      <c r="AL119" s="62">
        <v>15</v>
      </c>
      <c r="AM119" s="62" t="s">
        <v>60</v>
      </c>
      <c r="AN119" s="62"/>
    </row>
    <row r="120" spans="18:40" ht="12.75" hidden="1">
      <c r="R120" s="29"/>
      <c r="S120" s="29"/>
      <c r="T120" s="29"/>
      <c r="U120" s="29"/>
      <c r="Y120" s="62"/>
      <c r="Z120" s="62"/>
      <c r="AA120" s="62"/>
      <c r="AB120" s="62"/>
      <c r="AC120" s="62"/>
      <c r="AD120" s="62"/>
      <c r="AE120" s="62"/>
      <c r="AF120" s="62"/>
      <c r="AG120" s="62"/>
      <c r="AH120" s="62"/>
      <c r="AI120" s="62"/>
      <c r="AJ120" s="62"/>
      <c r="AK120" s="62"/>
      <c r="AL120" s="62">
        <v>16</v>
      </c>
      <c r="AM120" s="62" t="s">
        <v>61</v>
      </c>
      <c r="AN120" s="62"/>
    </row>
    <row r="121" spans="18:40" ht="12.75" hidden="1">
      <c r="R121" s="29"/>
      <c r="S121" s="29"/>
      <c r="T121" s="29"/>
      <c r="U121" s="29"/>
      <c r="Y121" s="62"/>
      <c r="Z121" s="62"/>
      <c r="AA121" s="62"/>
      <c r="AB121" s="62"/>
      <c r="AC121" s="62"/>
      <c r="AD121" s="62"/>
      <c r="AE121" s="62"/>
      <c r="AF121" s="62"/>
      <c r="AG121" s="62"/>
      <c r="AH121" s="62"/>
      <c r="AI121" s="62"/>
      <c r="AJ121" s="62"/>
      <c r="AK121" s="62"/>
      <c r="AL121" s="62">
        <v>17</v>
      </c>
      <c r="AM121" s="62" t="s">
        <v>62</v>
      </c>
      <c r="AN121" s="62"/>
    </row>
    <row r="122" spans="18:40" ht="12.75" hidden="1">
      <c r="R122" s="29"/>
      <c r="S122" s="29"/>
      <c r="T122" s="29"/>
      <c r="U122" s="29"/>
      <c r="Y122" s="62"/>
      <c r="Z122" s="62"/>
      <c r="AA122" s="62"/>
      <c r="AB122" s="62"/>
      <c r="AC122" s="62"/>
      <c r="AD122" s="62"/>
      <c r="AE122" s="62"/>
      <c r="AF122" s="62"/>
      <c r="AG122" s="62"/>
      <c r="AH122" s="62"/>
      <c r="AI122" s="62"/>
      <c r="AJ122" s="62"/>
      <c r="AK122" s="62"/>
      <c r="AL122" s="62">
        <v>18</v>
      </c>
      <c r="AM122" s="62" t="s">
        <v>63</v>
      </c>
      <c r="AN122" s="62"/>
    </row>
    <row r="123" spans="18:40" ht="12.75" hidden="1">
      <c r="R123" s="29"/>
      <c r="S123" s="29"/>
      <c r="T123" s="29"/>
      <c r="U123" s="29"/>
      <c r="Y123" s="62"/>
      <c r="Z123" s="62"/>
      <c r="AA123" s="62"/>
      <c r="AB123" s="62"/>
      <c r="AC123" s="62"/>
      <c r="AD123" s="62"/>
      <c r="AE123" s="62"/>
      <c r="AF123" s="62"/>
      <c r="AG123" s="62"/>
      <c r="AH123" s="62"/>
      <c r="AI123" s="62"/>
      <c r="AJ123" s="62"/>
      <c r="AK123" s="62"/>
      <c r="AL123" s="62">
        <v>19</v>
      </c>
      <c r="AM123" s="62" t="s">
        <v>64</v>
      </c>
      <c r="AN123" s="62"/>
    </row>
    <row r="124" spans="18:40" ht="12.75" hidden="1">
      <c r="R124" s="29"/>
      <c r="S124" s="29"/>
      <c r="T124" s="29"/>
      <c r="U124" s="29"/>
      <c r="Y124" s="62"/>
      <c r="Z124" s="62"/>
      <c r="AA124" s="62"/>
      <c r="AB124" s="62"/>
      <c r="AC124" s="62"/>
      <c r="AD124" s="62"/>
      <c r="AE124" s="62"/>
      <c r="AF124" s="62"/>
      <c r="AG124" s="62"/>
      <c r="AH124" s="62"/>
      <c r="AI124" s="62"/>
      <c r="AJ124" s="62"/>
      <c r="AK124" s="62"/>
      <c r="AL124" s="62">
        <v>20</v>
      </c>
      <c r="AM124" s="62" t="s">
        <v>40</v>
      </c>
      <c r="AN124" s="62"/>
    </row>
    <row r="125" spans="18:40" ht="12.75" hidden="1">
      <c r="R125" s="29"/>
      <c r="S125" s="29"/>
      <c r="T125" s="29"/>
      <c r="U125" s="29"/>
      <c r="Y125" s="62"/>
      <c r="Z125" s="62"/>
      <c r="AA125" s="62"/>
      <c r="AB125" s="62"/>
      <c r="AC125" s="62"/>
      <c r="AD125" s="62"/>
      <c r="AE125" s="62"/>
      <c r="AF125" s="62"/>
      <c r="AG125" s="62"/>
      <c r="AH125" s="62"/>
      <c r="AI125" s="62"/>
      <c r="AJ125" s="62"/>
      <c r="AK125" s="62"/>
      <c r="AL125" s="62">
        <v>30</v>
      </c>
      <c r="AM125" s="62" t="s">
        <v>42</v>
      </c>
      <c r="AN125" s="62"/>
    </row>
    <row r="126" spans="18:40" ht="12.75" hidden="1">
      <c r="R126" s="29"/>
      <c r="S126" s="29"/>
      <c r="T126" s="29"/>
      <c r="U126" s="29"/>
      <c r="Y126" s="62"/>
      <c r="Z126" s="62"/>
      <c r="AA126" s="62"/>
      <c r="AB126" s="62"/>
      <c r="AC126" s="62"/>
      <c r="AD126" s="62"/>
      <c r="AE126" s="62"/>
      <c r="AF126" s="62"/>
      <c r="AG126" s="62"/>
      <c r="AH126" s="62"/>
      <c r="AI126" s="62"/>
      <c r="AJ126" s="62"/>
      <c r="AK126" s="62"/>
      <c r="AL126" s="62">
        <v>40</v>
      </c>
      <c r="AM126" s="62" t="s">
        <v>44</v>
      </c>
      <c r="AN126" s="62"/>
    </row>
    <row r="127" spans="18:40" ht="12.75" hidden="1">
      <c r="R127" s="29"/>
      <c r="S127" s="29"/>
      <c r="T127" s="29"/>
      <c r="U127" s="29"/>
      <c r="Y127" s="62"/>
      <c r="Z127" s="62"/>
      <c r="AA127" s="62"/>
      <c r="AB127" s="62"/>
      <c r="AC127" s="62"/>
      <c r="AD127" s="62"/>
      <c r="AE127" s="62"/>
      <c r="AF127" s="62"/>
      <c r="AG127" s="62"/>
      <c r="AH127" s="62"/>
      <c r="AI127" s="62"/>
      <c r="AJ127" s="62"/>
      <c r="AK127" s="62"/>
      <c r="AL127" s="62">
        <v>50</v>
      </c>
      <c r="AM127" s="62" t="s">
        <v>46</v>
      </c>
      <c r="AN127" s="62"/>
    </row>
    <row r="128" spans="18:40" ht="12.75" hidden="1">
      <c r="R128" s="29"/>
      <c r="S128" s="29"/>
      <c r="T128" s="29"/>
      <c r="U128" s="29"/>
      <c r="Y128" s="62"/>
      <c r="Z128" s="62"/>
      <c r="AA128" s="62"/>
      <c r="AB128" s="62"/>
      <c r="AC128" s="62"/>
      <c r="AD128" s="62"/>
      <c r="AE128" s="62"/>
      <c r="AF128" s="62"/>
      <c r="AG128" s="62"/>
      <c r="AH128" s="62"/>
      <c r="AI128" s="62"/>
      <c r="AJ128" s="62"/>
      <c r="AK128" s="62"/>
      <c r="AL128" s="62">
        <v>60</v>
      </c>
      <c r="AM128" s="62" t="s">
        <v>48</v>
      </c>
      <c r="AN128" s="62"/>
    </row>
    <row r="129" spans="18:40" ht="12.75" hidden="1">
      <c r="R129" s="29"/>
      <c r="S129" s="29"/>
      <c r="T129" s="29"/>
      <c r="U129" s="29"/>
      <c r="Y129" s="62"/>
      <c r="Z129" s="62"/>
      <c r="AA129" s="62"/>
      <c r="AB129" s="62"/>
      <c r="AC129" s="62"/>
      <c r="AD129" s="62"/>
      <c r="AE129" s="62"/>
      <c r="AF129" s="62"/>
      <c r="AG129" s="62"/>
      <c r="AH129" s="62"/>
      <c r="AI129" s="62"/>
      <c r="AJ129" s="62"/>
      <c r="AK129" s="62"/>
      <c r="AL129" s="62">
        <v>70</v>
      </c>
      <c r="AM129" s="62" t="s">
        <v>50</v>
      </c>
      <c r="AN129" s="62"/>
    </row>
    <row r="130" spans="25:40" ht="12.75" hidden="1">
      <c r="Y130" s="62"/>
      <c r="Z130" s="62"/>
      <c r="AA130" s="62"/>
      <c r="AB130" s="62"/>
      <c r="AC130" s="62"/>
      <c r="AD130" s="62"/>
      <c r="AE130" s="62"/>
      <c r="AF130" s="62"/>
      <c r="AG130" s="62"/>
      <c r="AH130" s="62"/>
      <c r="AI130" s="62"/>
      <c r="AJ130" s="62"/>
      <c r="AK130" s="62"/>
      <c r="AL130" s="62">
        <v>80</v>
      </c>
      <c r="AM130" s="62" t="s">
        <v>52</v>
      </c>
      <c r="AN130" s="62"/>
    </row>
    <row r="131" spans="25:40" ht="12.75" hidden="1">
      <c r="Y131" s="62"/>
      <c r="Z131" s="62"/>
      <c r="AA131" s="62"/>
      <c r="AB131" s="62"/>
      <c r="AC131" s="62"/>
      <c r="AD131" s="62"/>
      <c r="AE131" s="62"/>
      <c r="AF131" s="62"/>
      <c r="AG131" s="62"/>
      <c r="AH131" s="62"/>
      <c r="AI131" s="62"/>
      <c r="AJ131" s="62"/>
      <c r="AK131" s="62"/>
      <c r="AL131" s="62">
        <v>90</v>
      </c>
      <c r="AM131" s="62" t="s">
        <v>54</v>
      </c>
      <c r="AN131" s="62"/>
    </row>
    <row r="132" spans="25:37" ht="12.75" hidden="1">
      <c r="Y132" s="29"/>
      <c r="Z132" s="29"/>
      <c r="AA132" s="29"/>
      <c r="AB132" s="29"/>
      <c r="AC132" s="29"/>
      <c r="AD132" s="29"/>
      <c r="AE132" s="29"/>
      <c r="AF132" s="29"/>
      <c r="AG132" s="29"/>
      <c r="AH132" s="29"/>
      <c r="AI132" s="29"/>
      <c r="AJ132" s="29"/>
      <c r="AK132" s="29"/>
    </row>
    <row r="133" spans="25:37" ht="12.75" hidden="1">
      <c r="Y133" s="29"/>
      <c r="Z133" s="29"/>
      <c r="AA133" s="29"/>
      <c r="AB133" s="29"/>
      <c r="AC133" s="29"/>
      <c r="AD133" s="29"/>
      <c r="AE133" s="29"/>
      <c r="AF133" s="29"/>
      <c r="AG133" s="29"/>
      <c r="AH133" s="29"/>
      <c r="AI133" s="29"/>
      <c r="AJ133" s="29"/>
      <c r="AK133" s="29"/>
    </row>
    <row r="134" spans="25:37" ht="12.75" hidden="1">
      <c r="Y134" s="29"/>
      <c r="Z134" s="29"/>
      <c r="AA134" s="29"/>
      <c r="AB134" s="29"/>
      <c r="AC134" s="29"/>
      <c r="AD134" s="29"/>
      <c r="AE134" s="29"/>
      <c r="AF134" s="29"/>
      <c r="AG134" s="29"/>
      <c r="AH134" s="29"/>
      <c r="AI134" s="29"/>
      <c r="AJ134" s="29"/>
      <c r="AK134" s="29"/>
    </row>
    <row r="135" spans="25:37" ht="12.75" hidden="1">
      <c r="Y135" s="29"/>
      <c r="Z135" s="29"/>
      <c r="AA135" s="29"/>
      <c r="AB135" s="29"/>
      <c r="AC135" s="29"/>
      <c r="AD135" s="29"/>
      <c r="AE135" s="29"/>
      <c r="AF135" s="29"/>
      <c r="AG135" s="29"/>
      <c r="AH135" s="29"/>
      <c r="AI135" s="29"/>
      <c r="AJ135" s="29"/>
      <c r="AK135" s="29"/>
    </row>
    <row r="136" ht="12.75" hidden="1">
      <c r="AH136" s="5"/>
    </row>
    <row r="137" spans="25:37" ht="12.75" hidden="1">
      <c r="Y137" s="29"/>
      <c r="Z137" s="29"/>
      <c r="AA137" s="29"/>
      <c r="AB137" s="29"/>
      <c r="AC137" s="29"/>
      <c r="AD137" s="29"/>
      <c r="AE137" s="29"/>
      <c r="AF137" s="29"/>
      <c r="AG137" s="29"/>
      <c r="AH137" s="29"/>
      <c r="AI137" s="29"/>
      <c r="AJ137" s="29"/>
      <c r="AK137" s="29"/>
    </row>
    <row r="138" spans="25:37" ht="12.75" hidden="1">
      <c r="Y138" s="29"/>
      <c r="Z138" s="29"/>
      <c r="AA138" s="29"/>
      <c r="AB138" s="29"/>
      <c r="AC138" s="29"/>
      <c r="AD138" s="29"/>
      <c r="AE138" s="29"/>
      <c r="AF138" s="29"/>
      <c r="AG138" s="29"/>
      <c r="AH138" s="29"/>
      <c r="AI138" s="29"/>
      <c r="AJ138" s="29"/>
      <c r="AK138" s="29"/>
    </row>
    <row r="139" spans="25:37" ht="12.75" hidden="1">
      <c r="Y139" s="29"/>
      <c r="Z139" s="29"/>
      <c r="AA139" s="29"/>
      <c r="AB139" s="29"/>
      <c r="AC139" s="29"/>
      <c r="AD139" s="29"/>
      <c r="AE139" s="29"/>
      <c r="AF139" s="29"/>
      <c r="AG139" s="29"/>
      <c r="AH139" s="29"/>
      <c r="AI139" s="29"/>
      <c r="AJ139" s="29"/>
      <c r="AK139" s="29"/>
    </row>
    <row r="140" spans="25:37" ht="12.75" hidden="1">
      <c r="Y140" s="29"/>
      <c r="Z140" s="29"/>
      <c r="AA140" s="29"/>
      <c r="AB140" s="29"/>
      <c r="AC140" s="29"/>
      <c r="AD140" s="29"/>
      <c r="AE140" s="29"/>
      <c r="AF140" s="29"/>
      <c r="AG140" s="29"/>
      <c r="AH140" s="29"/>
      <c r="AI140" s="29"/>
      <c r="AJ140" s="29"/>
      <c r="AK140" s="29"/>
    </row>
    <row r="141" spans="25:37" ht="12.75" hidden="1">
      <c r="Y141" s="29"/>
      <c r="Z141" s="29"/>
      <c r="AA141" s="29"/>
      <c r="AB141" s="29"/>
      <c r="AC141" s="29"/>
      <c r="AD141" s="29"/>
      <c r="AE141" s="29"/>
      <c r="AF141" s="29"/>
      <c r="AG141" s="29"/>
      <c r="AH141" s="29"/>
      <c r="AI141" s="29"/>
      <c r="AJ141" s="29"/>
      <c r="AK141" s="29"/>
    </row>
    <row r="142" spans="25:37" ht="12.75" hidden="1">
      <c r="Y142" s="29"/>
      <c r="Z142" s="29"/>
      <c r="AA142" s="29"/>
      <c r="AB142" s="29"/>
      <c r="AC142" s="29"/>
      <c r="AD142" s="29"/>
      <c r="AE142" s="29"/>
      <c r="AF142" s="29"/>
      <c r="AG142" s="29"/>
      <c r="AH142" s="29"/>
      <c r="AI142" s="29"/>
      <c r="AJ142" s="29"/>
      <c r="AK142" s="29"/>
    </row>
    <row r="143" spans="25:37" ht="12.75" hidden="1">
      <c r="Y143" s="29"/>
      <c r="Z143" s="29"/>
      <c r="AA143" s="29"/>
      <c r="AB143" s="29"/>
      <c r="AC143" s="29"/>
      <c r="AD143" s="29"/>
      <c r="AE143" s="29"/>
      <c r="AF143" s="29"/>
      <c r="AG143" s="29"/>
      <c r="AH143" s="29"/>
      <c r="AI143" s="29"/>
      <c r="AJ143" s="29"/>
      <c r="AK143" s="29"/>
    </row>
    <row r="144" spans="25:37" ht="12.75" hidden="1">
      <c r="Y144" s="29"/>
      <c r="Z144" s="29"/>
      <c r="AA144" s="29"/>
      <c r="AB144" s="29"/>
      <c r="AC144" s="29"/>
      <c r="AD144" s="29"/>
      <c r="AE144" s="29"/>
      <c r="AF144" s="29"/>
      <c r="AG144" s="29"/>
      <c r="AH144" s="29"/>
      <c r="AI144" s="29"/>
      <c r="AJ144" s="29"/>
      <c r="AK144" s="29"/>
    </row>
    <row r="145" spans="25:37" ht="12.75" hidden="1">
      <c r="Y145" s="29"/>
      <c r="Z145" s="29"/>
      <c r="AA145" s="29"/>
      <c r="AB145" s="29"/>
      <c r="AC145" s="29"/>
      <c r="AD145" s="29"/>
      <c r="AE145" s="29"/>
      <c r="AF145" s="29"/>
      <c r="AG145" s="29"/>
      <c r="AH145" s="29"/>
      <c r="AI145" s="29"/>
      <c r="AJ145" s="29"/>
      <c r="AK145" s="29"/>
    </row>
    <row r="146" spans="25:37" ht="12.75" hidden="1">
      <c r="Y146" s="29"/>
      <c r="Z146" s="29"/>
      <c r="AA146" s="29"/>
      <c r="AB146" s="29"/>
      <c r="AC146" s="29"/>
      <c r="AD146" s="29"/>
      <c r="AE146" s="29"/>
      <c r="AF146" s="29"/>
      <c r="AG146" s="29"/>
      <c r="AH146" s="29"/>
      <c r="AI146" s="29"/>
      <c r="AJ146" s="29"/>
      <c r="AK146" s="29"/>
    </row>
    <row r="147" spans="25:37" ht="12.75" hidden="1">
      <c r="Y147" s="29"/>
      <c r="Z147" s="29"/>
      <c r="AA147" s="29"/>
      <c r="AB147" s="29"/>
      <c r="AC147" s="29"/>
      <c r="AD147" s="29"/>
      <c r="AE147" s="29"/>
      <c r="AF147" s="29"/>
      <c r="AG147" s="29"/>
      <c r="AH147" s="29"/>
      <c r="AI147" s="29"/>
      <c r="AJ147" s="29"/>
      <c r="AK147" s="29"/>
    </row>
    <row r="148" spans="25:37" ht="12.75" hidden="1">
      <c r="Y148" s="29"/>
      <c r="Z148" s="29"/>
      <c r="AA148" s="29"/>
      <c r="AB148" s="29"/>
      <c r="AC148" s="29"/>
      <c r="AD148" s="29"/>
      <c r="AE148" s="29"/>
      <c r="AF148" s="29"/>
      <c r="AG148" s="29"/>
      <c r="AH148" s="29"/>
      <c r="AI148" s="29"/>
      <c r="AJ148" s="29"/>
      <c r="AK148" s="29"/>
    </row>
    <row r="149" spans="25:37" ht="12.75" hidden="1">
      <c r="Y149" s="29"/>
      <c r="Z149" s="29"/>
      <c r="AA149" s="29"/>
      <c r="AB149" s="29"/>
      <c r="AC149" s="29"/>
      <c r="AD149" s="29"/>
      <c r="AE149" s="29"/>
      <c r="AF149" s="29"/>
      <c r="AG149" s="29"/>
      <c r="AH149" s="29"/>
      <c r="AI149" s="29"/>
      <c r="AJ149" s="29"/>
      <c r="AK149" s="29"/>
    </row>
    <row r="150" spans="25:37" ht="12.75" hidden="1">
      <c r="Y150" s="29"/>
      <c r="Z150" s="29"/>
      <c r="AA150" s="29"/>
      <c r="AB150" s="29"/>
      <c r="AC150" s="29"/>
      <c r="AD150" s="29"/>
      <c r="AE150" s="29"/>
      <c r="AF150" s="29"/>
      <c r="AG150" s="29"/>
      <c r="AH150" s="29"/>
      <c r="AI150" s="29"/>
      <c r="AJ150" s="29"/>
      <c r="AK150" s="29"/>
    </row>
    <row r="151" spans="25:37" ht="12.75" hidden="1">
      <c r="Y151" s="29"/>
      <c r="Z151" s="29"/>
      <c r="AA151" s="29"/>
      <c r="AB151" s="29"/>
      <c r="AC151" s="29"/>
      <c r="AD151" s="29"/>
      <c r="AE151" s="29"/>
      <c r="AF151" s="29"/>
      <c r="AG151" s="29"/>
      <c r="AH151" s="29"/>
      <c r="AI151" s="29"/>
      <c r="AJ151" s="29"/>
      <c r="AK151" s="29"/>
    </row>
    <row r="152" spans="25:37" ht="12.75" hidden="1">
      <c r="Y152" s="29"/>
      <c r="Z152" s="29"/>
      <c r="AA152" s="29"/>
      <c r="AB152" s="29"/>
      <c r="AC152" s="29"/>
      <c r="AD152" s="29"/>
      <c r="AE152" s="29"/>
      <c r="AF152" s="29"/>
      <c r="AG152" s="29"/>
      <c r="AH152" s="29"/>
      <c r="AI152" s="29"/>
      <c r="AJ152" s="29"/>
      <c r="AK152" s="29"/>
    </row>
    <row r="153" spans="25:37" ht="12.75" hidden="1">
      <c r="Y153" s="29"/>
      <c r="Z153" s="29"/>
      <c r="AA153" s="29"/>
      <c r="AB153" s="29"/>
      <c r="AC153" s="29"/>
      <c r="AD153" s="29"/>
      <c r="AE153" s="29"/>
      <c r="AF153" s="29"/>
      <c r="AG153" s="29"/>
      <c r="AH153" s="29"/>
      <c r="AI153" s="29"/>
      <c r="AJ153" s="29"/>
      <c r="AK153" s="29"/>
    </row>
    <row r="154" spans="25:37" ht="12.75" hidden="1">
      <c r="Y154" s="29"/>
      <c r="Z154" s="29"/>
      <c r="AA154" s="29"/>
      <c r="AB154" s="29"/>
      <c r="AC154" s="29"/>
      <c r="AD154" s="29"/>
      <c r="AE154" s="29"/>
      <c r="AF154" s="29"/>
      <c r="AG154" s="29"/>
      <c r="AH154" s="29"/>
      <c r="AI154" s="29"/>
      <c r="AJ154" s="29"/>
      <c r="AK154" s="29"/>
    </row>
    <row r="155" spans="25:37" ht="12.75" hidden="1">
      <c r="Y155" s="29"/>
      <c r="Z155" s="29"/>
      <c r="AA155" s="29"/>
      <c r="AB155" s="29"/>
      <c r="AC155" s="29"/>
      <c r="AD155" s="29"/>
      <c r="AE155" s="29"/>
      <c r="AF155" s="29"/>
      <c r="AG155" s="29"/>
      <c r="AH155" s="29"/>
      <c r="AI155" s="29"/>
      <c r="AJ155" s="29"/>
      <c r="AK155" s="29"/>
    </row>
    <row r="156" spans="25:37" ht="12.75" hidden="1">
      <c r="Y156" s="29"/>
      <c r="Z156" s="29"/>
      <c r="AA156" s="29"/>
      <c r="AB156" s="29"/>
      <c r="AC156" s="29"/>
      <c r="AD156" s="29"/>
      <c r="AE156" s="29"/>
      <c r="AF156" s="29"/>
      <c r="AG156" s="29"/>
      <c r="AH156" s="29"/>
      <c r="AI156" s="29"/>
      <c r="AJ156" s="29"/>
      <c r="AK156" s="29"/>
    </row>
    <row r="157" spans="25:37" ht="12.75" hidden="1">
      <c r="Y157" s="29"/>
      <c r="Z157" s="29"/>
      <c r="AA157" s="29"/>
      <c r="AB157" s="29"/>
      <c r="AC157" s="29"/>
      <c r="AD157" s="29"/>
      <c r="AE157" s="29"/>
      <c r="AF157" s="29"/>
      <c r="AG157" s="29"/>
      <c r="AH157" s="29"/>
      <c r="AI157" s="29"/>
      <c r="AJ157" s="29"/>
      <c r="AK157" s="29"/>
    </row>
    <row r="158" spans="25:37" ht="12.75" hidden="1">
      <c r="Y158" s="29"/>
      <c r="Z158" s="29"/>
      <c r="AA158" s="29"/>
      <c r="AB158" s="29"/>
      <c r="AC158" s="29"/>
      <c r="AD158" s="29"/>
      <c r="AE158" s="29"/>
      <c r="AF158" s="29"/>
      <c r="AG158" s="29"/>
      <c r="AH158" s="29"/>
      <c r="AI158" s="29"/>
      <c r="AJ158" s="29"/>
      <c r="AK158" s="29"/>
    </row>
    <row r="159" spans="25:37" ht="12.75" hidden="1">
      <c r="Y159" s="29"/>
      <c r="Z159" s="29"/>
      <c r="AA159" s="29"/>
      <c r="AB159" s="29"/>
      <c r="AC159" s="29"/>
      <c r="AD159" s="29"/>
      <c r="AE159" s="29"/>
      <c r="AF159" s="29"/>
      <c r="AG159" s="29"/>
      <c r="AH159" s="29"/>
      <c r="AI159" s="29"/>
      <c r="AJ159" s="29"/>
      <c r="AK159" s="29"/>
    </row>
    <row r="160" spans="25:37" ht="12.75" hidden="1">
      <c r="Y160" s="29"/>
      <c r="Z160" s="29"/>
      <c r="AA160" s="29"/>
      <c r="AB160" s="29"/>
      <c r="AC160" s="29"/>
      <c r="AD160" s="29"/>
      <c r="AE160" s="29"/>
      <c r="AF160" s="29"/>
      <c r="AG160" s="29"/>
      <c r="AH160" s="29"/>
      <c r="AI160" s="29"/>
      <c r="AJ160" s="29"/>
      <c r="AK160" s="29"/>
    </row>
    <row r="161" spans="25:37" ht="12.75" hidden="1">
      <c r="Y161" s="29"/>
      <c r="Z161" s="29"/>
      <c r="AA161" s="29"/>
      <c r="AB161" s="29"/>
      <c r="AC161" s="29"/>
      <c r="AD161" s="29"/>
      <c r="AE161" s="29"/>
      <c r="AF161" s="29"/>
      <c r="AG161" s="29"/>
      <c r="AH161" s="29"/>
      <c r="AI161" s="29"/>
      <c r="AJ161" s="29"/>
      <c r="AK161" s="29"/>
    </row>
    <row r="162" spans="25:37" ht="12.75" hidden="1">
      <c r="Y162" s="29"/>
      <c r="Z162" s="29"/>
      <c r="AA162" s="29"/>
      <c r="AB162" s="29"/>
      <c r="AC162" s="29"/>
      <c r="AD162" s="29"/>
      <c r="AE162" s="29"/>
      <c r="AF162" s="29"/>
      <c r="AG162" s="29"/>
      <c r="AH162" s="29"/>
      <c r="AI162" s="29"/>
      <c r="AJ162" s="29"/>
      <c r="AK162" s="29"/>
    </row>
    <row r="163" spans="25:37" ht="12.75" hidden="1">
      <c r="Y163" s="29"/>
      <c r="Z163" s="29"/>
      <c r="AA163" s="29"/>
      <c r="AB163" s="29"/>
      <c r="AC163" s="29"/>
      <c r="AD163" s="29"/>
      <c r="AE163" s="29"/>
      <c r="AF163" s="29"/>
      <c r="AG163" s="29"/>
      <c r="AH163" s="29"/>
      <c r="AI163" s="29"/>
      <c r="AJ163" s="29"/>
      <c r="AK163" s="29"/>
    </row>
    <row r="164" ht="12.75" hidden="1">
      <c r="AH164" s="5"/>
    </row>
    <row r="165" ht="12.75" hidden="1">
      <c r="AH165" s="5"/>
    </row>
    <row r="166" spans="25:37" ht="12.75" hidden="1">
      <c r="Y166" s="29"/>
      <c r="Z166" s="29"/>
      <c r="AA166" s="29"/>
      <c r="AB166" s="29"/>
      <c r="AC166" s="29"/>
      <c r="AD166" s="29"/>
      <c r="AE166" s="29"/>
      <c r="AF166" s="29"/>
      <c r="AG166" s="29"/>
      <c r="AH166" s="29"/>
      <c r="AI166" s="29"/>
      <c r="AJ166" s="29"/>
      <c r="AK166" s="29"/>
    </row>
    <row r="167" spans="25:37" ht="12.75" hidden="1">
      <c r="Y167" s="29"/>
      <c r="Z167" s="29"/>
      <c r="AA167" s="29"/>
      <c r="AB167" s="29"/>
      <c r="AC167" s="29"/>
      <c r="AD167" s="29"/>
      <c r="AE167" s="29"/>
      <c r="AF167" s="29"/>
      <c r="AG167" s="29"/>
      <c r="AH167" s="29"/>
      <c r="AI167" s="29"/>
      <c r="AJ167" s="29"/>
      <c r="AK167" s="29"/>
    </row>
    <row r="168" spans="25:37" ht="12.75" hidden="1">
      <c r="Y168" s="29"/>
      <c r="Z168" s="29"/>
      <c r="AA168" s="29"/>
      <c r="AB168" s="29"/>
      <c r="AC168" s="29"/>
      <c r="AD168" s="29"/>
      <c r="AE168" s="29"/>
      <c r="AF168" s="29"/>
      <c r="AG168" s="29"/>
      <c r="AH168" s="29"/>
      <c r="AI168" s="29"/>
      <c r="AJ168" s="29"/>
      <c r="AK168" s="29"/>
    </row>
    <row r="169" spans="25:37" ht="12.75" hidden="1">
      <c r="Y169" s="29"/>
      <c r="Z169" s="29"/>
      <c r="AA169" s="29"/>
      <c r="AB169" s="29"/>
      <c r="AC169" s="29"/>
      <c r="AD169" s="29"/>
      <c r="AE169" s="29"/>
      <c r="AF169" s="29"/>
      <c r="AG169" s="29"/>
      <c r="AH169" s="29"/>
      <c r="AI169" s="29"/>
      <c r="AJ169" s="29"/>
      <c r="AK169" s="29"/>
    </row>
    <row r="170" spans="25:37" ht="12.75" hidden="1">
      <c r="Y170" s="29"/>
      <c r="Z170" s="29"/>
      <c r="AA170" s="29"/>
      <c r="AB170" s="29"/>
      <c r="AC170" s="29"/>
      <c r="AD170" s="29"/>
      <c r="AE170" s="29"/>
      <c r="AF170" s="29"/>
      <c r="AG170" s="29"/>
      <c r="AH170" s="29"/>
      <c r="AI170" s="29"/>
      <c r="AJ170" s="29"/>
      <c r="AK170" s="29"/>
    </row>
    <row r="171" spans="25:37" ht="12.75" hidden="1">
      <c r="Y171" s="29"/>
      <c r="Z171" s="29"/>
      <c r="AA171" s="29"/>
      <c r="AB171" s="29"/>
      <c r="AC171" s="29"/>
      <c r="AD171" s="29"/>
      <c r="AE171" s="29"/>
      <c r="AF171" s="29"/>
      <c r="AG171" s="29"/>
      <c r="AH171" s="29"/>
      <c r="AI171" s="29"/>
      <c r="AJ171" s="29"/>
      <c r="AK171" s="29"/>
    </row>
    <row r="172" spans="25:37" ht="12.75" hidden="1">
      <c r="Y172" s="29"/>
      <c r="Z172" s="29"/>
      <c r="AA172" s="29"/>
      <c r="AB172" s="29"/>
      <c r="AC172" s="29"/>
      <c r="AD172" s="29"/>
      <c r="AE172" s="29"/>
      <c r="AF172" s="29"/>
      <c r="AG172" s="29"/>
      <c r="AH172" s="29"/>
      <c r="AI172" s="29"/>
      <c r="AJ172" s="29"/>
      <c r="AK172" s="29"/>
    </row>
    <row r="173" spans="25:37" ht="12.75" hidden="1">
      <c r="Y173" s="29"/>
      <c r="Z173" s="29"/>
      <c r="AA173" s="29"/>
      <c r="AB173" s="29"/>
      <c r="AC173" s="29"/>
      <c r="AD173" s="29"/>
      <c r="AE173" s="29"/>
      <c r="AF173" s="29"/>
      <c r="AG173" s="29"/>
      <c r="AH173" s="29"/>
      <c r="AI173" s="29"/>
      <c r="AJ173" s="29"/>
      <c r="AK173" s="29"/>
    </row>
    <row r="174" spans="25:37" ht="12.75" hidden="1">
      <c r="Y174" s="29"/>
      <c r="Z174" s="29"/>
      <c r="AA174" s="29"/>
      <c r="AB174" s="29"/>
      <c r="AC174" s="29"/>
      <c r="AD174" s="29"/>
      <c r="AE174" s="29"/>
      <c r="AF174" s="29"/>
      <c r="AG174" s="29"/>
      <c r="AH174" s="29"/>
      <c r="AI174" s="29"/>
      <c r="AJ174" s="29"/>
      <c r="AK174" s="29"/>
    </row>
    <row r="175" spans="25:37" ht="12.75" hidden="1">
      <c r="Y175" s="29"/>
      <c r="Z175" s="29"/>
      <c r="AA175" s="29"/>
      <c r="AB175" s="29"/>
      <c r="AC175" s="29"/>
      <c r="AD175" s="29"/>
      <c r="AE175" s="29"/>
      <c r="AF175" s="29"/>
      <c r="AG175" s="29"/>
      <c r="AH175" s="29"/>
      <c r="AI175" s="29"/>
      <c r="AJ175" s="29"/>
      <c r="AK175" s="29"/>
    </row>
    <row r="176" spans="25:37" ht="12.75" hidden="1">
      <c r="Y176" s="29"/>
      <c r="Z176" s="29"/>
      <c r="AA176" s="29"/>
      <c r="AB176" s="29"/>
      <c r="AC176" s="29"/>
      <c r="AD176" s="29"/>
      <c r="AE176" s="29"/>
      <c r="AF176" s="29"/>
      <c r="AG176" s="29"/>
      <c r="AH176" s="29"/>
      <c r="AI176" s="29"/>
      <c r="AJ176" s="29"/>
      <c r="AK176" s="29"/>
    </row>
    <row r="177" spans="25:37" ht="12.75" hidden="1">
      <c r="Y177" s="29"/>
      <c r="Z177" s="29"/>
      <c r="AA177" s="29"/>
      <c r="AB177" s="29"/>
      <c r="AC177" s="29"/>
      <c r="AD177" s="29"/>
      <c r="AE177" s="29"/>
      <c r="AF177" s="29"/>
      <c r="AG177" s="29"/>
      <c r="AH177" s="29"/>
      <c r="AI177" s="29"/>
      <c r="AJ177" s="29"/>
      <c r="AK177" s="29"/>
    </row>
    <row r="178" spans="25:37" ht="12.75" hidden="1">
      <c r="Y178" s="29"/>
      <c r="Z178" s="29"/>
      <c r="AA178" s="29"/>
      <c r="AB178" s="29"/>
      <c r="AC178" s="29"/>
      <c r="AD178" s="29"/>
      <c r="AE178" s="29"/>
      <c r="AF178" s="29"/>
      <c r="AG178" s="29"/>
      <c r="AH178" s="29"/>
      <c r="AI178" s="29"/>
      <c r="AJ178" s="29"/>
      <c r="AK178" s="29"/>
    </row>
    <row r="179" spans="25:37" ht="12.75" hidden="1">
      <c r="Y179" s="29"/>
      <c r="Z179" s="29"/>
      <c r="AA179" s="29"/>
      <c r="AB179" s="29"/>
      <c r="AC179" s="29"/>
      <c r="AD179" s="29"/>
      <c r="AE179" s="29"/>
      <c r="AF179" s="29"/>
      <c r="AG179" s="29"/>
      <c r="AH179" s="29"/>
      <c r="AI179" s="29"/>
      <c r="AJ179" s="29"/>
      <c r="AK179" s="29"/>
    </row>
    <row r="180" spans="25:37" ht="12.75" hidden="1">
      <c r="Y180" s="29"/>
      <c r="Z180" s="29"/>
      <c r="AA180" s="29"/>
      <c r="AB180" s="29"/>
      <c r="AC180" s="29"/>
      <c r="AD180" s="29"/>
      <c r="AE180" s="29"/>
      <c r="AF180" s="29"/>
      <c r="AG180" s="29"/>
      <c r="AH180" s="29"/>
      <c r="AI180" s="29"/>
      <c r="AJ180" s="29"/>
      <c r="AK180" s="29"/>
    </row>
    <row r="181" spans="25:37" ht="12.75" hidden="1">
      <c r="Y181" s="29"/>
      <c r="Z181" s="29"/>
      <c r="AA181" s="29"/>
      <c r="AB181" s="29"/>
      <c r="AC181" s="29"/>
      <c r="AD181" s="29"/>
      <c r="AE181" s="29"/>
      <c r="AF181" s="29"/>
      <c r="AG181" s="29"/>
      <c r="AH181" s="29"/>
      <c r="AI181" s="29"/>
      <c r="AJ181" s="29"/>
      <c r="AK181" s="29"/>
    </row>
    <row r="182" spans="25:37" ht="12.75" hidden="1">
      <c r="Y182" s="29"/>
      <c r="Z182" s="29"/>
      <c r="AA182" s="29"/>
      <c r="AB182" s="29"/>
      <c r="AC182" s="29"/>
      <c r="AD182" s="29"/>
      <c r="AE182" s="29"/>
      <c r="AF182" s="29"/>
      <c r="AG182" s="29"/>
      <c r="AH182" s="29"/>
      <c r="AI182" s="29"/>
      <c r="AJ182" s="29"/>
      <c r="AK182" s="29"/>
    </row>
    <row r="183" spans="25:37" ht="12.75" hidden="1">
      <c r="Y183" s="29"/>
      <c r="Z183" s="29"/>
      <c r="AA183" s="29"/>
      <c r="AB183" s="29"/>
      <c r="AC183" s="29"/>
      <c r="AD183" s="29"/>
      <c r="AE183" s="29"/>
      <c r="AF183" s="29"/>
      <c r="AG183" s="29"/>
      <c r="AH183" s="29"/>
      <c r="AI183" s="29"/>
      <c r="AJ183" s="29"/>
      <c r="AK183" s="29"/>
    </row>
    <row r="184" spans="25:37" ht="12.75" hidden="1">
      <c r="Y184" s="29"/>
      <c r="Z184" s="29"/>
      <c r="AA184" s="29"/>
      <c r="AB184" s="29"/>
      <c r="AC184" s="29"/>
      <c r="AD184" s="29"/>
      <c r="AE184" s="29"/>
      <c r="AF184" s="29"/>
      <c r="AG184" s="29"/>
      <c r="AH184" s="29"/>
      <c r="AI184" s="29"/>
      <c r="AJ184" s="29"/>
      <c r="AK184" s="29"/>
    </row>
    <row r="185" spans="25:37" ht="12.75" hidden="1">
      <c r="Y185" s="29"/>
      <c r="Z185" s="29"/>
      <c r="AA185" s="29"/>
      <c r="AB185" s="29"/>
      <c r="AC185" s="29"/>
      <c r="AD185" s="29"/>
      <c r="AE185" s="29"/>
      <c r="AF185" s="29"/>
      <c r="AG185" s="29"/>
      <c r="AH185" s="29"/>
      <c r="AI185" s="29"/>
      <c r="AJ185" s="29"/>
      <c r="AK185" s="29"/>
    </row>
    <row r="186" spans="25:37" ht="12.75" hidden="1">
      <c r="Y186" s="29"/>
      <c r="Z186" s="29"/>
      <c r="AA186" s="29"/>
      <c r="AB186" s="29"/>
      <c r="AC186" s="29"/>
      <c r="AD186" s="29"/>
      <c r="AE186" s="29"/>
      <c r="AF186" s="29"/>
      <c r="AG186" s="29"/>
      <c r="AH186" s="29"/>
      <c r="AI186" s="29"/>
      <c r="AJ186" s="29"/>
      <c r="AK186" s="29"/>
    </row>
    <row r="187" spans="25:37" ht="12.75" hidden="1">
      <c r="Y187" s="29"/>
      <c r="Z187" s="29"/>
      <c r="AA187" s="29"/>
      <c r="AB187" s="29"/>
      <c r="AC187" s="29"/>
      <c r="AD187" s="29"/>
      <c r="AE187" s="29"/>
      <c r="AF187" s="29"/>
      <c r="AG187" s="29"/>
      <c r="AH187" s="29"/>
      <c r="AI187" s="29"/>
      <c r="AJ187" s="29"/>
      <c r="AK187" s="29"/>
    </row>
    <row r="188" spans="25:37" ht="12.75" hidden="1">
      <c r="Y188" s="29"/>
      <c r="Z188" s="29"/>
      <c r="AA188" s="29"/>
      <c r="AB188" s="29"/>
      <c r="AC188" s="29"/>
      <c r="AD188" s="29"/>
      <c r="AE188" s="29"/>
      <c r="AF188" s="29"/>
      <c r="AG188" s="29"/>
      <c r="AH188" s="29"/>
      <c r="AI188" s="29"/>
      <c r="AJ188" s="29"/>
      <c r="AK188" s="29"/>
    </row>
    <row r="189" spans="25:37" ht="12.75" hidden="1">
      <c r="Y189" s="29"/>
      <c r="Z189" s="29"/>
      <c r="AA189" s="29"/>
      <c r="AB189" s="29"/>
      <c r="AC189" s="29"/>
      <c r="AD189" s="29"/>
      <c r="AE189" s="29"/>
      <c r="AF189" s="29"/>
      <c r="AG189" s="29"/>
      <c r="AH189" s="29"/>
      <c r="AI189" s="29"/>
      <c r="AJ189" s="29"/>
      <c r="AK189" s="29"/>
    </row>
    <row r="190" spans="25:37" ht="12.75" hidden="1">
      <c r="Y190" s="29"/>
      <c r="Z190" s="29"/>
      <c r="AA190" s="29"/>
      <c r="AB190" s="29"/>
      <c r="AC190" s="29"/>
      <c r="AD190" s="29"/>
      <c r="AE190" s="29"/>
      <c r="AF190" s="29"/>
      <c r="AG190" s="29"/>
      <c r="AH190" s="29"/>
      <c r="AI190" s="29"/>
      <c r="AJ190" s="29"/>
      <c r="AK190" s="29"/>
    </row>
    <row r="191" spans="25:37" ht="12.75" hidden="1">
      <c r="Y191" s="29"/>
      <c r="Z191" s="29"/>
      <c r="AA191" s="29"/>
      <c r="AB191" s="29"/>
      <c r="AC191" s="29"/>
      <c r="AD191" s="29"/>
      <c r="AE191" s="29"/>
      <c r="AF191" s="29"/>
      <c r="AG191" s="29"/>
      <c r="AH191" s="29"/>
      <c r="AI191" s="29"/>
      <c r="AJ191" s="29"/>
      <c r="AK191" s="29"/>
    </row>
    <row r="192" spans="25:37" ht="12.75" hidden="1">
      <c r="Y192" s="29"/>
      <c r="Z192" s="29"/>
      <c r="AA192" s="29"/>
      <c r="AB192" s="29"/>
      <c r="AC192" s="29"/>
      <c r="AD192" s="29"/>
      <c r="AE192" s="29"/>
      <c r="AF192" s="29"/>
      <c r="AG192" s="29"/>
      <c r="AH192" s="29"/>
      <c r="AI192" s="29"/>
      <c r="AJ192" s="29"/>
      <c r="AK192" s="29"/>
    </row>
    <row r="193" ht="12.75" hidden="1">
      <c r="AH193" s="5"/>
    </row>
    <row r="194" ht="12.75" hidden="1">
      <c r="AH194" s="5"/>
    </row>
    <row r="195" ht="12.75" hidden="1">
      <c r="AH195" s="5"/>
    </row>
    <row r="196" ht="12.75" hidden="1">
      <c r="AH196" s="5"/>
    </row>
    <row r="197" ht="12.75" hidden="1">
      <c r="AH197" s="5"/>
    </row>
    <row r="198" ht="12.75" hidden="1">
      <c r="AH198" s="5"/>
    </row>
    <row r="199" ht="12.75" hidden="1">
      <c r="AH199" s="5"/>
    </row>
    <row r="200" ht="12.75" hidden="1">
      <c r="AH200" s="5"/>
    </row>
    <row r="201" ht="12.75" hidden="1">
      <c r="AH201" s="5"/>
    </row>
    <row r="202" ht="12.75" hidden="1">
      <c r="AH202" s="5"/>
    </row>
    <row r="203" ht="12.75" hidden="1">
      <c r="AH203" s="5"/>
    </row>
    <row r="204" ht="12.75" hidden="1">
      <c r="AH204" s="5"/>
    </row>
    <row r="205" ht="12.75" hidden="1">
      <c r="AH205" s="5"/>
    </row>
    <row r="206" ht="12.75" hidden="1">
      <c r="AH206" s="5"/>
    </row>
    <row r="207" ht="12.75" hidden="1">
      <c r="AH207" s="5"/>
    </row>
    <row r="208" ht="12.75" hidden="1">
      <c r="AH208" s="5"/>
    </row>
    <row r="209" ht="12.75" hidden="1">
      <c r="AH209" s="5"/>
    </row>
    <row r="210" ht="12.75" hidden="1">
      <c r="AH210" s="5"/>
    </row>
    <row r="211" ht="12.75" hidden="1">
      <c r="AH211" s="5"/>
    </row>
    <row r="212" ht="12.75" hidden="1">
      <c r="AH212" s="5"/>
    </row>
    <row r="213" ht="12.75" hidden="1">
      <c r="AH213" s="5"/>
    </row>
    <row r="214" ht="12.75" hidden="1">
      <c r="AH214" s="5"/>
    </row>
    <row r="215" ht="12.75" hidden="1">
      <c r="AH215" s="5"/>
    </row>
    <row r="216" ht="12.75" hidden="1">
      <c r="AH216" s="5"/>
    </row>
    <row r="217" ht="12.75" hidden="1">
      <c r="AH217" s="5"/>
    </row>
    <row r="218" ht="12.75" hidden="1">
      <c r="AH218" s="5"/>
    </row>
    <row r="219" ht="12.75" hidden="1">
      <c r="AH219" s="5"/>
    </row>
    <row r="220" ht="12.75" hidden="1">
      <c r="AH220" s="5"/>
    </row>
    <row r="221" ht="12.75" hidden="1">
      <c r="AH221" s="5"/>
    </row>
    <row r="222" ht="12.75" hidden="1">
      <c r="AH222" s="5"/>
    </row>
    <row r="223" ht="12.75" hidden="1">
      <c r="AH223" s="5"/>
    </row>
    <row r="224" ht="12.75" hidden="1">
      <c r="AH224" s="5"/>
    </row>
    <row r="225" ht="12.75" hidden="1">
      <c r="AH225" s="5"/>
    </row>
    <row r="226" ht="12.75" hidden="1">
      <c r="AH226" s="5"/>
    </row>
    <row r="227" ht="12.75" hidden="1">
      <c r="AH227" s="5"/>
    </row>
    <row r="228" ht="12.75" hidden="1">
      <c r="AH228" s="5"/>
    </row>
    <row r="229" ht="12.75" hidden="1">
      <c r="AH229" s="5"/>
    </row>
    <row r="230" ht="12.75" hidden="1">
      <c r="AH230" s="5"/>
    </row>
    <row r="231" ht="12.75" hidden="1">
      <c r="AH231" s="5"/>
    </row>
    <row r="232" ht="12.75" hidden="1">
      <c r="AH232" s="5"/>
    </row>
    <row r="233" ht="12.75" hidden="1">
      <c r="AH233" s="5"/>
    </row>
    <row r="234" ht="12.75" hidden="1">
      <c r="AH234" s="5"/>
    </row>
    <row r="235" ht="12.75" hidden="1">
      <c r="AH235" s="5"/>
    </row>
    <row r="236" ht="12.75" hidden="1">
      <c r="AH236" s="5"/>
    </row>
    <row r="237" ht="12.75" hidden="1">
      <c r="AH237" s="5"/>
    </row>
    <row r="238" ht="12.75" hidden="1">
      <c r="AH238" s="5"/>
    </row>
    <row r="239" ht="12.75" hidden="1">
      <c r="AH239" s="5"/>
    </row>
    <row r="240" ht="12.75" hidden="1">
      <c r="AH240" s="5"/>
    </row>
    <row r="241" ht="12.75" hidden="1">
      <c r="AH241" s="5"/>
    </row>
    <row r="242" ht="12.75" hidden="1">
      <c r="AH242" s="5"/>
    </row>
    <row r="243" ht="12.75" hidden="1">
      <c r="AH243" s="5"/>
    </row>
    <row r="244" ht="12.75" hidden="1">
      <c r="AH244" s="5"/>
    </row>
    <row r="245" ht="12.75" hidden="1">
      <c r="AH245" s="5"/>
    </row>
    <row r="246" ht="12.75" hidden="1">
      <c r="AH246" s="5"/>
    </row>
    <row r="247" ht="12.75" hidden="1">
      <c r="AH247" s="5"/>
    </row>
    <row r="248" ht="12.75" hidden="1">
      <c r="AH248" s="5"/>
    </row>
    <row r="249" ht="12.75" hidden="1">
      <c r="AH249" s="5"/>
    </row>
    <row r="250" ht="12.75" hidden="1">
      <c r="AH250" s="5"/>
    </row>
    <row r="251" ht="12.75" hidden="1">
      <c r="AH251" s="5"/>
    </row>
    <row r="252" ht="12.75" hidden="1">
      <c r="AH252" s="5"/>
    </row>
    <row r="253" ht="12.75" hidden="1">
      <c r="AH253" s="5"/>
    </row>
    <row r="254" ht="12.75" hidden="1">
      <c r="AH254" s="5"/>
    </row>
    <row r="255" ht="12.75" hidden="1">
      <c r="AH255" s="5"/>
    </row>
    <row r="256" ht="12.75" hidden="1">
      <c r="AH256" s="5"/>
    </row>
    <row r="257" ht="12.75" hidden="1">
      <c r="AH257" s="5"/>
    </row>
    <row r="258" ht="12.75" hidden="1">
      <c r="AH258" s="5"/>
    </row>
    <row r="259" ht="12.75" hidden="1">
      <c r="AH259" s="5"/>
    </row>
    <row r="260" ht="12.75" hidden="1">
      <c r="AH260" s="5"/>
    </row>
    <row r="261" ht="12.75" hidden="1">
      <c r="AH261" s="5"/>
    </row>
    <row r="262" ht="12.75" hidden="1">
      <c r="AH262" s="5"/>
    </row>
    <row r="263" ht="12.75" hidden="1">
      <c r="AH263" s="5"/>
    </row>
    <row r="264" ht="12.75" hidden="1">
      <c r="AH264" s="5"/>
    </row>
    <row r="265" ht="12.75" hidden="1">
      <c r="AH265" s="5"/>
    </row>
    <row r="266" ht="12.75" hidden="1">
      <c r="AH266" s="5"/>
    </row>
    <row r="267" ht="12.75" hidden="1">
      <c r="AH267" s="5"/>
    </row>
    <row r="268" ht="12.75" hidden="1">
      <c r="AH268" s="5"/>
    </row>
    <row r="269" ht="12.75" hidden="1">
      <c r="AH269" s="5"/>
    </row>
    <row r="270" ht="12.75" hidden="1">
      <c r="AH270" s="5"/>
    </row>
    <row r="271" ht="12.75" hidden="1">
      <c r="AH271" s="5"/>
    </row>
    <row r="272" ht="12.75" hidden="1">
      <c r="AH272" s="5"/>
    </row>
    <row r="273" ht="12.75" hidden="1">
      <c r="AH273" s="5"/>
    </row>
    <row r="274" ht="12.75" hidden="1">
      <c r="AH274" s="5"/>
    </row>
    <row r="275" ht="12.75" hidden="1">
      <c r="AH275" s="5"/>
    </row>
    <row r="276" ht="12.75" hidden="1">
      <c r="AH276" s="5"/>
    </row>
    <row r="277" ht="12.75" hidden="1">
      <c r="AH277" s="5"/>
    </row>
    <row r="278" ht="12.75" hidden="1">
      <c r="AH278" s="5"/>
    </row>
    <row r="279" ht="12.75" hidden="1">
      <c r="AH279" s="5"/>
    </row>
    <row r="280" ht="12.75" hidden="1">
      <c r="AH280" s="5"/>
    </row>
    <row r="281" ht="12.75" hidden="1">
      <c r="AH281" s="5"/>
    </row>
    <row r="282" ht="12.75" hidden="1">
      <c r="AH282" s="5"/>
    </row>
    <row r="283" ht="12.75" hidden="1">
      <c r="AH283" s="5"/>
    </row>
    <row r="284" ht="12.75" hidden="1">
      <c r="AH284" s="5"/>
    </row>
    <row r="285" ht="12.75" hidden="1">
      <c r="AH285" s="5"/>
    </row>
    <row r="286" ht="12.75" hidden="1">
      <c r="AH286" s="5"/>
    </row>
    <row r="287" ht="12.75" hidden="1">
      <c r="AH287" s="5"/>
    </row>
    <row r="288" ht="12.75" hidden="1">
      <c r="AH288" s="5"/>
    </row>
    <row r="289" ht="12.75" hidden="1">
      <c r="AH289" s="5"/>
    </row>
    <row r="290" ht="12.75" hidden="1">
      <c r="AH290" s="5"/>
    </row>
    <row r="291" ht="12.75" hidden="1">
      <c r="AH291" s="5"/>
    </row>
    <row r="292" ht="12.75" hidden="1">
      <c r="AH292" s="5"/>
    </row>
    <row r="293" ht="12.75" hidden="1">
      <c r="AH293" s="5"/>
    </row>
    <row r="294" ht="12.75" hidden="1">
      <c r="AH294" s="5"/>
    </row>
    <row r="295" ht="12.75" hidden="1">
      <c r="AH295" s="5"/>
    </row>
    <row r="296" ht="12.75" hidden="1">
      <c r="AH296" s="5"/>
    </row>
    <row r="297" ht="12.75" hidden="1">
      <c r="AH297" s="5"/>
    </row>
    <row r="298" ht="12.75" hidden="1">
      <c r="AH298" s="5"/>
    </row>
    <row r="299" ht="12.75" hidden="1">
      <c r="AH299" s="5"/>
    </row>
    <row r="300" ht="12.75" hidden="1">
      <c r="AH300" s="5"/>
    </row>
    <row r="301" ht="12.75" hidden="1">
      <c r="AH301" s="5"/>
    </row>
    <row r="302" ht="12.75" hidden="1">
      <c r="AH302" s="5"/>
    </row>
    <row r="303" ht="12.75" hidden="1">
      <c r="AH303" s="5"/>
    </row>
    <row r="304" ht="12.75" hidden="1">
      <c r="AH304" s="5"/>
    </row>
    <row r="305" ht="12.75" hidden="1">
      <c r="AH305" s="5"/>
    </row>
    <row r="306" ht="12.75" hidden="1">
      <c r="AH306" s="5"/>
    </row>
    <row r="307" ht="12.75" hidden="1">
      <c r="AH307" s="5"/>
    </row>
    <row r="308" ht="12.75" hidden="1">
      <c r="AH308" s="5"/>
    </row>
    <row r="309" ht="12.75" hidden="1">
      <c r="AH309" s="5"/>
    </row>
    <row r="310" ht="12.75" hidden="1">
      <c r="AH310" s="5"/>
    </row>
    <row r="311" ht="12.75" hidden="1">
      <c r="AH311" s="5"/>
    </row>
    <row r="312" ht="12.75" hidden="1">
      <c r="AH312" s="5"/>
    </row>
    <row r="313" ht="12.75" hidden="1">
      <c r="AH313" s="5"/>
    </row>
    <row r="314" ht="12.75" hidden="1">
      <c r="AH314" s="5"/>
    </row>
    <row r="315" ht="12.75" hidden="1">
      <c r="AH315" s="5"/>
    </row>
    <row r="316" ht="12.75" hidden="1">
      <c r="AH316" s="5"/>
    </row>
    <row r="317" ht="12.75" hidden="1">
      <c r="AH317" s="5"/>
    </row>
    <row r="318" ht="12.75" hidden="1">
      <c r="AH318" s="5"/>
    </row>
    <row r="319" ht="12.75" hidden="1">
      <c r="AH319" s="5"/>
    </row>
    <row r="320" ht="12.75" hidden="1">
      <c r="AH320" s="5"/>
    </row>
    <row r="321" ht="12.75" hidden="1">
      <c r="AH321" s="5"/>
    </row>
    <row r="322" ht="12.75" hidden="1">
      <c r="AH322" s="5"/>
    </row>
    <row r="323" ht="12.75" hidden="1">
      <c r="AH323" s="5"/>
    </row>
    <row r="324" ht="12.75" hidden="1">
      <c r="AH324" s="5"/>
    </row>
  </sheetData>
  <sheetProtection password="D590" sheet="1" objects="1" scenarios="1" selectLockedCells="1"/>
  <mergeCells count="29">
    <mergeCell ref="G30:L30"/>
    <mergeCell ref="C3:T3"/>
    <mergeCell ref="C4:T4"/>
    <mergeCell ref="P5:T5"/>
    <mergeCell ref="P8:Q8"/>
    <mergeCell ref="E9:M9"/>
    <mergeCell ref="J11:M11"/>
    <mergeCell ref="P11:T11"/>
    <mergeCell ref="F25:L25"/>
    <mergeCell ref="Y30:AA30"/>
    <mergeCell ref="G32:I32"/>
    <mergeCell ref="O14:P14"/>
    <mergeCell ref="C15:E15"/>
    <mergeCell ref="N15:N16"/>
    <mergeCell ref="F17:L17"/>
    <mergeCell ref="N17:N18"/>
    <mergeCell ref="F19:L19"/>
    <mergeCell ref="N19:N20"/>
    <mergeCell ref="J32:T32"/>
    <mergeCell ref="B14:B36"/>
    <mergeCell ref="O46:T46"/>
    <mergeCell ref="C33:T33"/>
    <mergeCell ref="J35:M35"/>
    <mergeCell ref="C39:T39"/>
    <mergeCell ref="C40:U40"/>
    <mergeCell ref="C41:U41"/>
    <mergeCell ref="C42:U42"/>
    <mergeCell ref="F21:L21"/>
    <mergeCell ref="F23:L23"/>
  </mergeCells>
  <dataValidations count="1">
    <dataValidation type="list" allowBlank="1" showInputMessage="1" showErrorMessage="1" sqref="F65536:M65536">
      <formula1>"HEAD MASTER,HEAD MISTRESS,MANDAL EDUCATIONAL OFFICER"</formula1>
    </dataValidation>
  </dataValidations>
  <printOptions horizontalCentered="1"/>
  <pageMargins left="0.26" right="0.118110236220472" top="0.57" bottom="0.32" header="0.45" footer="0.37"/>
  <pageSetup horizontalDpi="180" verticalDpi="18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1:K27"/>
  <sheetViews>
    <sheetView showGridLines="0" showRowColHeaders="0" zoomScalePageLayoutView="0" workbookViewId="0" topLeftCell="A1">
      <selection activeCell="C5" sqref="C5"/>
    </sheetView>
  </sheetViews>
  <sheetFormatPr defaultColWidth="0" defaultRowHeight="15" zeroHeight="1"/>
  <cols>
    <col min="1" max="1" width="4.28125" style="272" customWidth="1"/>
    <col min="2" max="2" width="4.00390625" style="85" customWidth="1"/>
    <col min="3" max="3" width="22.00390625" style="85" customWidth="1"/>
    <col min="4" max="4" width="8.8515625" style="85" customWidth="1"/>
    <col min="5" max="5" width="9.421875" style="85" customWidth="1"/>
    <col min="6" max="6" width="15.00390625" style="85" customWidth="1"/>
    <col min="7" max="7" width="13.28125" style="85" customWidth="1"/>
    <col min="8" max="8" width="11.7109375" style="85" customWidth="1"/>
    <col min="9" max="9" width="9.140625" style="85" customWidth="1"/>
    <col min="10" max="10" width="4.57421875" style="272" customWidth="1"/>
    <col min="11" max="11" width="14.421875" style="352" customWidth="1"/>
    <col min="12" max="16384" width="9.140625" style="85" hidden="1" customWidth="1"/>
  </cols>
  <sheetData>
    <row r="1" spans="2:9" ht="21" customHeight="1" thickBot="1">
      <c r="B1" s="272"/>
      <c r="C1" s="272"/>
      <c r="D1" s="272"/>
      <c r="E1" s="272"/>
      <c r="F1" s="272"/>
      <c r="G1" s="272"/>
      <c r="H1" s="272"/>
      <c r="I1" s="272"/>
    </row>
    <row r="2" spans="2:9" ht="15">
      <c r="B2" s="494" t="s">
        <v>77</v>
      </c>
      <c r="C2" s="496" t="s">
        <v>78</v>
      </c>
      <c r="D2" s="496" t="s">
        <v>79</v>
      </c>
      <c r="E2" s="496" t="s">
        <v>80</v>
      </c>
      <c r="F2" s="498" t="s">
        <v>81</v>
      </c>
      <c r="G2" s="498" t="s">
        <v>82</v>
      </c>
      <c r="H2" s="498"/>
      <c r="I2" s="486" t="s">
        <v>3</v>
      </c>
    </row>
    <row r="3" spans="2:9" ht="46.5" customHeight="1">
      <c r="B3" s="495" t="s">
        <v>77</v>
      </c>
      <c r="C3" s="497" t="s">
        <v>78</v>
      </c>
      <c r="D3" s="497" t="s">
        <v>79</v>
      </c>
      <c r="E3" s="497" t="s">
        <v>80</v>
      </c>
      <c r="F3" s="499" t="s">
        <v>81</v>
      </c>
      <c r="G3" s="117" t="s">
        <v>299</v>
      </c>
      <c r="H3" s="206" t="s">
        <v>83</v>
      </c>
      <c r="I3" s="487" t="s">
        <v>3</v>
      </c>
    </row>
    <row r="4" spans="2:9" ht="15">
      <c r="B4" s="215" t="s">
        <v>84</v>
      </c>
      <c r="C4" s="118" t="s">
        <v>85</v>
      </c>
      <c r="D4" s="118" t="s">
        <v>86</v>
      </c>
      <c r="E4" s="118" t="s">
        <v>87</v>
      </c>
      <c r="F4" s="118" t="s">
        <v>88</v>
      </c>
      <c r="G4" s="118" t="s">
        <v>89</v>
      </c>
      <c r="H4" s="118" t="s">
        <v>90</v>
      </c>
      <c r="I4" s="216" t="s">
        <v>91</v>
      </c>
    </row>
    <row r="5" spans="2:9" ht="83.25" customHeight="1">
      <c r="B5" s="217">
        <v>1</v>
      </c>
      <c r="C5" s="204" t="str">
        <f>Data!D4&amp;", "&amp;Data!D5</f>
        <v>Bandi Babji, Driver</v>
      </c>
      <c r="D5" s="158"/>
      <c r="E5" s="159"/>
      <c r="F5" s="484" t="str">
        <f>"Proceedings RC No."&amp;Data!C24&amp;" dated."&amp;DAY(Data!C25)&amp;"-"&amp;MONTH(Data!C25)&amp;"-"&amp;YEAR(Data!C25)&amp;" of the "&amp;Data!C22&amp;", "&amp;Data!C23</f>
        <v>Proceedings RC No.2/2011 E dated.13-5-2014 of the District Forest Officer, Kakinada Division, Kakinada</v>
      </c>
      <c r="G5" s="160">
        <f>'Calculation sheet'!G27</f>
        <v>11487</v>
      </c>
      <c r="H5" s="159"/>
      <c r="I5" s="218"/>
    </row>
    <row r="6" spans="2:9" ht="83.25" customHeight="1">
      <c r="B6" s="219"/>
      <c r="C6" s="205"/>
      <c r="D6" s="161"/>
      <c r="E6" s="162"/>
      <c r="F6" s="485"/>
      <c r="G6" s="162"/>
      <c r="H6" s="162"/>
      <c r="I6" s="220"/>
    </row>
    <row r="7" spans="2:9" ht="60.75" customHeight="1">
      <c r="B7" s="219"/>
      <c r="C7" s="122"/>
      <c r="D7" s="122"/>
      <c r="E7" s="122"/>
      <c r="F7" s="122"/>
      <c r="G7" s="122"/>
      <c r="H7" s="122"/>
      <c r="I7" s="221"/>
    </row>
    <row r="8" spans="2:9" ht="106.5" customHeight="1">
      <c r="B8" s="219"/>
      <c r="C8" s="120"/>
      <c r="D8" s="121"/>
      <c r="E8" s="119"/>
      <c r="F8" s="121"/>
      <c r="G8" s="119"/>
      <c r="H8" s="119"/>
      <c r="I8" s="222"/>
    </row>
    <row r="9" spans="2:9" ht="15">
      <c r="B9" s="223"/>
      <c r="C9" s="124" t="s">
        <v>9</v>
      </c>
      <c r="D9" s="123"/>
      <c r="E9" s="123"/>
      <c r="F9" s="123"/>
      <c r="G9" s="125">
        <f>G5</f>
        <v>11487</v>
      </c>
      <c r="H9" s="123"/>
      <c r="I9" s="224"/>
    </row>
    <row r="10" spans="2:9" ht="15">
      <c r="B10" s="225"/>
      <c r="C10" s="89"/>
      <c r="D10" s="89"/>
      <c r="E10" s="89"/>
      <c r="F10" s="89"/>
      <c r="G10" s="89"/>
      <c r="H10" s="89"/>
      <c r="I10" s="226"/>
    </row>
    <row r="11" spans="2:9" ht="15">
      <c r="B11" s="225"/>
      <c r="C11" s="89"/>
      <c r="D11" s="89"/>
      <c r="E11" s="89"/>
      <c r="F11" s="89"/>
      <c r="G11" s="89"/>
      <c r="H11" s="89"/>
      <c r="I11" s="226"/>
    </row>
    <row r="12" spans="2:9" ht="15.75">
      <c r="B12" s="225"/>
      <c r="C12" s="89"/>
      <c r="D12" s="89"/>
      <c r="E12" s="89"/>
      <c r="F12" s="89"/>
      <c r="G12" s="227" t="s">
        <v>12</v>
      </c>
      <c r="H12" s="89"/>
      <c r="I12" s="226"/>
    </row>
    <row r="13" spans="2:9" ht="15">
      <c r="B13" s="225"/>
      <c r="C13" s="89"/>
      <c r="D13" s="89"/>
      <c r="E13" s="89"/>
      <c r="F13" s="89"/>
      <c r="G13" s="89"/>
      <c r="H13" s="89"/>
      <c r="I13" s="226"/>
    </row>
    <row r="14" spans="2:9" ht="27" customHeight="1">
      <c r="B14" s="228"/>
      <c r="C14" s="126" t="s">
        <v>97</v>
      </c>
      <c r="D14" s="126"/>
      <c r="E14" s="126"/>
      <c r="F14" s="127" t="str">
        <f>Data!C22&amp;", "&amp;Data!C23</f>
        <v>District Forest Officer, Kakinada Division, Kakinada</v>
      </c>
      <c r="G14" s="127"/>
      <c r="H14" s="127"/>
      <c r="I14" s="229"/>
    </row>
    <row r="15" spans="2:9" ht="15">
      <c r="B15" s="225"/>
      <c r="C15" s="89"/>
      <c r="D15" s="89"/>
      <c r="E15" s="89"/>
      <c r="F15" s="89"/>
      <c r="G15" s="89"/>
      <c r="H15" s="89"/>
      <c r="I15" s="226"/>
    </row>
    <row r="16" spans="2:9" ht="15">
      <c r="B16" s="225"/>
      <c r="C16" s="89" t="s">
        <v>96</v>
      </c>
      <c r="D16" s="89"/>
      <c r="E16" s="89"/>
      <c r="F16" s="89"/>
      <c r="G16" s="89"/>
      <c r="H16" s="89"/>
      <c r="I16" s="226"/>
    </row>
    <row r="17" spans="2:9" ht="15">
      <c r="B17" s="230"/>
      <c r="C17" s="128"/>
      <c r="D17" s="128"/>
      <c r="E17" s="128"/>
      <c r="F17" s="128"/>
      <c r="G17" s="128"/>
      <c r="H17" s="128"/>
      <c r="I17" s="231"/>
    </row>
    <row r="18" spans="2:9" ht="15">
      <c r="B18" s="225"/>
      <c r="C18" s="89"/>
      <c r="D18" s="89"/>
      <c r="E18" s="89"/>
      <c r="F18" s="89"/>
      <c r="G18" s="89"/>
      <c r="H18" s="89"/>
      <c r="I18" s="226"/>
    </row>
    <row r="19" spans="2:9" ht="18.75">
      <c r="B19" s="488" t="s">
        <v>13</v>
      </c>
      <c r="C19" s="489"/>
      <c r="D19" s="489"/>
      <c r="E19" s="489"/>
      <c r="F19" s="489"/>
      <c r="G19" s="489"/>
      <c r="H19" s="489"/>
      <c r="I19" s="490"/>
    </row>
    <row r="20" spans="2:9" ht="21" customHeight="1">
      <c r="B20" s="225" t="s">
        <v>98</v>
      </c>
      <c r="C20" s="89"/>
      <c r="D20" s="89"/>
      <c r="E20" s="89"/>
      <c r="F20" s="89"/>
      <c r="G20" s="89"/>
      <c r="H20" s="89"/>
      <c r="I20" s="226"/>
    </row>
    <row r="21" spans="2:9" ht="21" customHeight="1">
      <c r="B21" s="225" t="s">
        <v>99</v>
      </c>
      <c r="C21" s="89"/>
      <c r="D21" s="89"/>
      <c r="E21" s="89"/>
      <c r="F21" s="89"/>
      <c r="G21" s="89"/>
      <c r="H21" s="89"/>
      <c r="I21" s="226"/>
    </row>
    <row r="22" spans="2:9" ht="21" customHeight="1">
      <c r="B22" s="225" t="s">
        <v>100</v>
      </c>
      <c r="C22" s="89"/>
      <c r="D22" s="89"/>
      <c r="E22" s="89"/>
      <c r="F22" s="89"/>
      <c r="G22" s="89"/>
      <c r="H22" s="89"/>
      <c r="I22" s="226"/>
    </row>
    <row r="23" spans="2:9" ht="15">
      <c r="B23" s="225"/>
      <c r="C23" s="89"/>
      <c r="D23" s="89"/>
      <c r="E23" s="89"/>
      <c r="F23" s="89"/>
      <c r="G23" s="89"/>
      <c r="H23" s="89"/>
      <c r="I23" s="226"/>
    </row>
    <row r="24" spans="2:9" ht="15">
      <c r="B24" s="225" t="s">
        <v>72</v>
      </c>
      <c r="C24" s="89"/>
      <c r="D24" s="89"/>
      <c r="E24" s="89"/>
      <c r="F24" s="89"/>
      <c r="G24" s="89" t="s">
        <v>101</v>
      </c>
      <c r="H24" s="89"/>
      <c r="I24" s="226"/>
    </row>
    <row r="25" spans="2:9" ht="15">
      <c r="B25" s="225"/>
      <c r="C25" s="89"/>
      <c r="D25" s="89"/>
      <c r="E25" s="89"/>
      <c r="F25" s="89"/>
      <c r="G25" s="89"/>
      <c r="H25" s="89"/>
      <c r="I25" s="226"/>
    </row>
    <row r="26" spans="2:9" ht="16.5" thickBot="1">
      <c r="B26" s="491" t="s">
        <v>14</v>
      </c>
      <c r="C26" s="492"/>
      <c r="D26" s="492"/>
      <c r="E26" s="492"/>
      <c r="F26" s="492"/>
      <c r="G26" s="492"/>
      <c r="H26" s="492"/>
      <c r="I26" s="493"/>
    </row>
    <row r="27" spans="2:11" s="272" customFormat="1" ht="19.5" customHeight="1">
      <c r="B27" s="272" t="s">
        <v>72</v>
      </c>
      <c r="K27" s="352"/>
    </row>
  </sheetData>
  <sheetProtection password="D590" sheet="1" objects="1" scenarios="1" selectLockedCells="1"/>
  <mergeCells count="10">
    <mergeCell ref="F5:F6"/>
    <mergeCell ref="I2:I3"/>
    <mergeCell ref="B19:I19"/>
    <mergeCell ref="B26:I26"/>
    <mergeCell ref="B2:B3"/>
    <mergeCell ref="C2:C3"/>
    <mergeCell ref="D2:D3"/>
    <mergeCell ref="E2:E3"/>
    <mergeCell ref="F2:F3"/>
    <mergeCell ref="G2:H2"/>
  </mergeCells>
  <printOptions/>
  <pageMargins left="0.5" right="0.53" top="0.52" bottom="0.52"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BE142"/>
  <sheetViews>
    <sheetView showGridLines="0" showRowColHeaders="0" zoomScalePageLayoutView="0" workbookViewId="0" topLeftCell="A1">
      <selection activeCell="AG18" sqref="AG18"/>
    </sheetView>
  </sheetViews>
  <sheetFormatPr defaultColWidth="0" defaultRowHeight="15" zeroHeight="1"/>
  <cols>
    <col min="1" max="1" width="5.00390625" style="307" customWidth="1"/>
    <col min="2" max="2" width="11.7109375" style="62" customWidth="1"/>
    <col min="3" max="3" width="4.00390625" style="62" customWidth="1"/>
    <col min="4" max="4" width="0.42578125" style="62" customWidth="1"/>
    <col min="5" max="5" width="4.140625" style="62" customWidth="1"/>
    <col min="6" max="6" width="0.42578125" style="62" customWidth="1"/>
    <col min="7" max="7" width="4.00390625" style="62" customWidth="1"/>
    <col min="8" max="8" width="0.42578125" style="62" customWidth="1"/>
    <col min="9" max="9" width="4.00390625" style="62" customWidth="1"/>
    <col min="10" max="10" width="0.42578125" style="62" customWidth="1"/>
    <col min="11" max="11" width="4.00390625" style="62" customWidth="1"/>
    <col min="12" max="12" width="1.7109375" style="62" customWidth="1"/>
    <col min="13" max="13" width="4.00390625" style="62" customWidth="1"/>
    <col min="14" max="14" width="0.42578125" style="62" customWidth="1"/>
    <col min="15" max="15" width="4.140625" style="62" customWidth="1"/>
    <col min="16" max="16" width="0.42578125" style="62" customWidth="1"/>
    <col min="17" max="17" width="1.7109375" style="62" customWidth="1"/>
    <col min="18" max="18" width="3.00390625" style="62" customWidth="1"/>
    <col min="19" max="19" width="1.7109375" style="62" customWidth="1"/>
    <col min="20" max="20" width="0.42578125" style="62" customWidth="1"/>
    <col min="21" max="21" width="4.00390625" style="62" customWidth="1"/>
    <col min="22" max="22" width="0.42578125" style="62" customWidth="1"/>
    <col min="23" max="23" width="4.00390625" style="62" customWidth="1"/>
    <col min="24" max="24" width="0.42578125" style="62" customWidth="1"/>
    <col min="25" max="25" width="1.28515625" style="62" customWidth="1"/>
    <col min="26" max="26" width="3.140625" style="62" customWidth="1"/>
    <col min="27" max="27" width="0.42578125" style="62" customWidth="1"/>
    <col min="28" max="28" width="0.85546875" style="62" customWidth="1"/>
    <col min="29" max="29" width="0.42578125" style="62" customWidth="1"/>
    <col min="30" max="30" width="2.8515625" style="62" customWidth="1"/>
    <col min="31" max="31" width="0.42578125" style="62" customWidth="1"/>
    <col min="32" max="32" width="0.85546875" style="62" customWidth="1"/>
    <col min="33" max="33" width="3.8515625" style="62" customWidth="1"/>
    <col min="34" max="34" width="1.1484375" style="62" customWidth="1"/>
    <col min="35" max="36" width="0" style="62" hidden="1" customWidth="1"/>
    <col min="37" max="37" width="7.140625" style="62" customWidth="1"/>
    <col min="38" max="38" width="6.7109375" style="62" customWidth="1"/>
    <col min="39" max="39" width="12.140625" style="62" customWidth="1"/>
    <col min="40" max="40" width="4.421875" style="62" hidden="1" customWidth="1"/>
    <col min="41" max="41" width="9.140625" style="62" customWidth="1"/>
    <col min="42" max="42" width="7.28125" style="62" customWidth="1"/>
    <col min="43" max="43" width="9.140625" style="62" customWidth="1"/>
    <col min="44" max="44" width="7.28125" style="62" customWidth="1"/>
    <col min="45" max="45" width="7.00390625" style="62" customWidth="1"/>
    <col min="46" max="46" width="7.421875" style="62" customWidth="1"/>
    <col min="47" max="47" width="12.28125" style="62" customWidth="1"/>
    <col min="48" max="48" width="6.28125" style="307" customWidth="1"/>
    <col min="49" max="49" width="13.421875" style="364" customWidth="1"/>
    <col min="50" max="51" width="6.28125" style="62" hidden="1" customWidth="1"/>
    <col min="52" max="57" width="6.28125" style="1" hidden="1" customWidth="1"/>
    <col min="58" max="16384" width="6.28125" style="62" hidden="1" customWidth="1"/>
  </cols>
  <sheetData>
    <row r="1" spans="49:57" s="307" customFormat="1" ht="22.5" customHeight="1" thickBot="1">
      <c r="AW1" s="364"/>
      <c r="AZ1" s="262"/>
      <c r="BA1" s="262"/>
      <c r="BB1" s="262"/>
      <c r="BC1" s="262"/>
      <c r="BD1" s="262"/>
      <c r="BE1" s="262"/>
    </row>
    <row r="2" spans="2:51" ht="20.25">
      <c r="B2" s="559" t="s">
        <v>168</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1"/>
      <c r="AJ2" s="62">
        <f>'[1]Annexure I'!E9</f>
        <v>14530</v>
      </c>
      <c r="AM2" s="556" t="s">
        <v>169</v>
      </c>
      <c r="AN2" s="557"/>
      <c r="AO2" s="557"/>
      <c r="AP2" s="557"/>
      <c r="AQ2" s="557"/>
      <c r="AR2" s="557"/>
      <c r="AS2" s="557"/>
      <c r="AT2" s="557"/>
      <c r="AU2" s="558"/>
      <c r="AY2" s="62">
        <f>'[1]Annexure I'!AN9</f>
        <v>0</v>
      </c>
    </row>
    <row r="3" spans="2:51" ht="15" customHeight="1">
      <c r="B3" s="273"/>
      <c r="C3" s="274"/>
      <c r="D3" s="274"/>
      <c r="E3" s="274"/>
      <c r="F3" s="274"/>
      <c r="G3" s="274"/>
      <c r="H3" s="274"/>
      <c r="I3" s="275"/>
      <c r="J3" s="274"/>
      <c r="K3" s="309" t="s">
        <v>170</v>
      </c>
      <c r="L3" s="310"/>
      <c r="M3" s="310"/>
      <c r="N3" s="310"/>
      <c r="O3" s="311"/>
      <c r="P3" s="274"/>
      <c r="Q3" s="274"/>
      <c r="R3" s="274"/>
      <c r="S3" s="274"/>
      <c r="T3" s="275"/>
      <c r="U3" s="275"/>
      <c r="V3" s="275"/>
      <c r="W3" s="275"/>
      <c r="X3" s="275"/>
      <c r="Y3" s="275"/>
      <c r="Z3" s="275"/>
      <c r="AA3" s="275"/>
      <c r="AB3" s="275"/>
      <c r="AC3" s="275"/>
      <c r="AD3" s="275"/>
      <c r="AE3" s="275"/>
      <c r="AF3" s="275"/>
      <c r="AG3" s="276"/>
      <c r="AJ3" s="62">
        <f>'[1]Annexure I'!E30</f>
        <v>691</v>
      </c>
      <c r="AM3" s="508" t="s">
        <v>171</v>
      </c>
      <c r="AN3" s="509"/>
      <c r="AO3" s="509"/>
      <c r="AP3" s="509"/>
      <c r="AQ3" s="509"/>
      <c r="AR3" s="509"/>
      <c r="AS3" s="509"/>
      <c r="AT3" s="509"/>
      <c r="AU3" s="276"/>
      <c r="AY3" s="62">
        <f>'[1]Annexure I'!AN30</f>
        <v>0</v>
      </c>
    </row>
    <row r="4" spans="2:47" ht="12" customHeight="1">
      <c r="B4" s="273"/>
      <c r="C4" s="274"/>
      <c r="D4" s="274"/>
      <c r="E4" s="274"/>
      <c r="F4" s="274"/>
      <c r="G4" s="274"/>
      <c r="H4" s="274"/>
      <c r="I4" s="277"/>
      <c r="J4" s="277"/>
      <c r="K4" s="277"/>
      <c r="L4" s="277"/>
      <c r="M4" s="277"/>
      <c r="N4" s="277"/>
      <c r="O4" s="277"/>
      <c r="P4" s="277"/>
      <c r="Q4" s="277"/>
      <c r="R4" s="277"/>
      <c r="S4" s="277"/>
      <c r="T4" s="275"/>
      <c r="U4" s="275"/>
      <c r="V4" s="275"/>
      <c r="W4" s="275"/>
      <c r="X4" s="275"/>
      <c r="Y4" s="275"/>
      <c r="Z4" s="275"/>
      <c r="AA4" s="275"/>
      <c r="AB4" s="275"/>
      <c r="AC4" s="275"/>
      <c r="AD4" s="275"/>
      <c r="AE4" s="275"/>
      <c r="AF4" s="275"/>
      <c r="AG4" s="276"/>
      <c r="AM4" s="508" t="s">
        <v>172</v>
      </c>
      <c r="AN4" s="509"/>
      <c r="AO4" s="509"/>
      <c r="AP4" s="509"/>
      <c r="AQ4" s="509"/>
      <c r="AR4" s="509"/>
      <c r="AS4" s="509"/>
      <c r="AT4" s="509"/>
      <c r="AU4" s="276"/>
    </row>
    <row r="5" spans="1:57" s="65" customFormat="1" ht="20.25" customHeight="1">
      <c r="A5" s="308"/>
      <c r="B5" s="278" t="s">
        <v>173</v>
      </c>
      <c r="C5" s="66" t="str">
        <f>AZ45</f>
        <v>0</v>
      </c>
      <c r="D5" s="77"/>
      <c r="E5" s="66" t="str">
        <f>BA45</f>
        <v>3</v>
      </c>
      <c r="F5" s="77"/>
      <c r="G5" s="66" t="str">
        <f>BB45</f>
        <v>0</v>
      </c>
      <c r="H5" s="77"/>
      <c r="I5" s="66" t="str">
        <f>BC45</f>
        <v>1</v>
      </c>
      <c r="J5" s="70"/>
      <c r="K5" s="70"/>
      <c r="L5" s="70"/>
      <c r="M5" s="70"/>
      <c r="N5" s="70"/>
      <c r="O5" s="67"/>
      <c r="P5" s="68"/>
      <c r="Q5" s="68"/>
      <c r="R5" s="68"/>
      <c r="S5" s="68"/>
      <c r="T5" s="68"/>
      <c r="U5" s="68"/>
      <c r="V5" s="68"/>
      <c r="W5" s="562" t="s">
        <v>174</v>
      </c>
      <c r="X5" s="562"/>
      <c r="Y5" s="562"/>
      <c r="Z5" s="562"/>
      <c r="AA5" s="562"/>
      <c r="AB5" s="562"/>
      <c r="AC5" s="562"/>
      <c r="AD5" s="562"/>
      <c r="AE5" s="562"/>
      <c r="AF5" s="562"/>
      <c r="AG5" s="563"/>
      <c r="AM5" s="278"/>
      <c r="AN5" s="70"/>
      <c r="AO5" s="70"/>
      <c r="AP5" s="70"/>
      <c r="AQ5" s="70"/>
      <c r="AR5" s="70"/>
      <c r="AS5" s="70"/>
      <c r="AT5" s="70"/>
      <c r="AU5" s="276"/>
      <c r="AV5" s="307"/>
      <c r="AW5" s="364"/>
      <c r="AX5" s="62"/>
      <c r="AY5" s="62"/>
      <c r="AZ5" s="1"/>
      <c r="BA5" s="1"/>
      <c r="BB5" s="1"/>
      <c r="BC5" s="1"/>
      <c r="BD5" s="1"/>
      <c r="BE5" s="1"/>
    </row>
    <row r="6" spans="1:57" s="65" customFormat="1" ht="19.5" customHeight="1">
      <c r="A6" s="308"/>
      <c r="B6" s="279" t="s">
        <v>175</v>
      </c>
      <c r="C6" s="542" t="str">
        <f>Data!C20</f>
        <v>DTO, Kakinada</v>
      </c>
      <c r="D6" s="542"/>
      <c r="E6" s="542"/>
      <c r="F6" s="542"/>
      <c r="G6" s="542"/>
      <c r="H6" s="542"/>
      <c r="I6" s="542"/>
      <c r="J6" s="542"/>
      <c r="K6" s="542"/>
      <c r="L6" s="542"/>
      <c r="M6" s="70"/>
      <c r="N6" s="70"/>
      <c r="O6" s="69" t="s">
        <v>176</v>
      </c>
      <c r="P6" s="70"/>
      <c r="Q6" s="70"/>
      <c r="R6" s="70"/>
      <c r="S6" s="543"/>
      <c r="T6" s="543"/>
      <c r="U6" s="543"/>
      <c r="V6" s="543"/>
      <c r="W6" s="543"/>
      <c r="X6" s="543"/>
      <c r="Y6" s="543"/>
      <c r="Z6" s="543"/>
      <c r="AA6" s="543"/>
      <c r="AB6" s="543"/>
      <c r="AC6" s="543"/>
      <c r="AD6" s="543"/>
      <c r="AE6" s="70"/>
      <c r="AF6" s="70"/>
      <c r="AG6" s="280"/>
      <c r="AM6" s="295" t="s">
        <v>177</v>
      </c>
      <c r="AN6" s="296"/>
      <c r="AO6" s="297" t="str">
        <f>Data!$C$26</f>
        <v>03010402001</v>
      </c>
      <c r="AP6" s="275"/>
      <c r="AQ6" s="275"/>
      <c r="AR6" s="298" t="str">
        <f>"Treasury / PAO Code  : "&amp;LEFT(Data!C26,4)</f>
        <v>Treasury / PAO Code  : 0301</v>
      </c>
      <c r="AS6" s="275"/>
      <c r="AT6" s="275"/>
      <c r="AU6" s="276"/>
      <c r="AV6" s="307"/>
      <c r="AW6" s="364"/>
      <c r="AX6" s="62"/>
      <c r="AY6" s="62"/>
      <c r="AZ6" s="1"/>
      <c r="BA6" s="1"/>
      <c r="BB6" s="1"/>
      <c r="BC6" s="1"/>
      <c r="BD6" s="1"/>
      <c r="BE6" s="1"/>
    </row>
    <row r="7" spans="1:57" s="65" customFormat="1" ht="6.75" customHeight="1">
      <c r="A7" s="308"/>
      <c r="B7" s="278"/>
      <c r="C7" s="70"/>
      <c r="D7" s="70"/>
      <c r="E7" s="70"/>
      <c r="F7" s="70"/>
      <c r="G7" s="70"/>
      <c r="H7" s="70"/>
      <c r="I7" s="70"/>
      <c r="J7" s="70"/>
      <c r="K7" s="70"/>
      <c r="L7" s="70"/>
      <c r="M7" s="70"/>
      <c r="N7" s="70"/>
      <c r="O7" s="72"/>
      <c r="P7" s="70"/>
      <c r="Q7" s="70"/>
      <c r="R7" s="70"/>
      <c r="S7" s="70"/>
      <c r="T7" s="70"/>
      <c r="U7" s="70"/>
      <c r="V7" s="70"/>
      <c r="W7" s="73"/>
      <c r="X7" s="73"/>
      <c r="Y7" s="73"/>
      <c r="Z7" s="73"/>
      <c r="AA7" s="73"/>
      <c r="AB7" s="73"/>
      <c r="AC7" s="73"/>
      <c r="AD7" s="73"/>
      <c r="AE7" s="70"/>
      <c r="AF7" s="70"/>
      <c r="AG7" s="280"/>
      <c r="AM7" s="278"/>
      <c r="AN7" s="70"/>
      <c r="AO7" s="70"/>
      <c r="AP7" s="70"/>
      <c r="AQ7" s="275"/>
      <c r="AR7" s="70"/>
      <c r="AS7" s="298"/>
      <c r="AT7" s="299"/>
      <c r="AU7" s="276"/>
      <c r="AV7" s="307"/>
      <c r="AW7" s="364"/>
      <c r="AX7" s="62"/>
      <c r="AY7" s="62"/>
      <c r="AZ7" s="1"/>
      <c r="BA7" s="1"/>
      <c r="BB7" s="1"/>
      <c r="BC7" s="1"/>
      <c r="BD7" s="1"/>
      <c r="BE7" s="1"/>
    </row>
    <row r="8" spans="1:57" s="65" customFormat="1" ht="24" customHeight="1">
      <c r="A8" s="308"/>
      <c r="B8" s="278" t="s">
        <v>178</v>
      </c>
      <c r="C8" s="546" t="str">
        <f>Data!$C$26</f>
        <v>03010402001</v>
      </c>
      <c r="D8" s="547"/>
      <c r="E8" s="547"/>
      <c r="F8" s="547"/>
      <c r="G8" s="547"/>
      <c r="H8" s="547"/>
      <c r="I8" s="548"/>
      <c r="J8" s="70"/>
      <c r="K8" s="70"/>
      <c r="L8" s="70"/>
      <c r="M8" s="70"/>
      <c r="N8" s="70"/>
      <c r="O8" s="69" t="s">
        <v>23</v>
      </c>
      <c r="P8" s="70"/>
      <c r="Q8" s="70"/>
      <c r="R8" s="70"/>
      <c r="S8" s="70"/>
      <c r="T8" s="71"/>
      <c r="U8" s="532"/>
      <c r="V8" s="534"/>
      <c r="W8" s="534"/>
      <c r="X8" s="534"/>
      <c r="Y8" s="534"/>
      <c r="Z8" s="534"/>
      <c r="AA8" s="534"/>
      <c r="AB8" s="534"/>
      <c r="AC8" s="534"/>
      <c r="AD8" s="533"/>
      <c r="AE8" s="70"/>
      <c r="AF8" s="70"/>
      <c r="AG8" s="280"/>
      <c r="AM8" s="300" t="s">
        <v>179</v>
      </c>
      <c r="AN8" s="298"/>
      <c r="AO8" s="301" t="str">
        <f>E10&amp;", "&amp;S10</f>
        <v>District Forest Officer, Kakinada Division, Kakinada</v>
      </c>
      <c r="AP8" s="298"/>
      <c r="AQ8" s="298"/>
      <c r="AR8" s="555" t="s">
        <v>180</v>
      </c>
      <c r="AS8" s="555"/>
      <c r="AT8" s="550" t="str">
        <f>Data!C20</f>
        <v>DTO, Kakinada</v>
      </c>
      <c r="AU8" s="551"/>
      <c r="AV8" s="307"/>
      <c r="AW8" s="364"/>
      <c r="AX8" s="62"/>
      <c r="AY8" s="62"/>
      <c r="AZ8" s="1"/>
      <c r="BA8" s="1"/>
      <c r="BB8" s="1"/>
      <c r="BC8" s="1"/>
      <c r="BD8" s="1"/>
      <c r="BE8" s="1"/>
    </row>
    <row r="9" spans="1:57" s="65" customFormat="1" ht="3.75" customHeight="1">
      <c r="A9" s="308"/>
      <c r="B9" s="278"/>
      <c r="C9" s="70"/>
      <c r="D9" s="70"/>
      <c r="E9" s="70"/>
      <c r="F9" s="70"/>
      <c r="G9" s="70"/>
      <c r="H9" s="70"/>
      <c r="I9" s="70"/>
      <c r="J9" s="70"/>
      <c r="K9" s="70"/>
      <c r="L9" s="70"/>
      <c r="M9" s="70"/>
      <c r="N9" s="70"/>
      <c r="O9" s="74"/>
      <c r="P9" s="73"/>
      <c r="Q9" s="73"/>
      <c r="R9" s="73"/>
      <c r="S9" s="73"/>
      <c r="T9" s="73"/>
      <c r="U9" s="73"/>
      <c r="V9" s="73"/>
      <c r="W9" s="73"/>
      <c r="X9" s="73"/>
      <c r="Y9" s="73"/>
      <c r="Z9" s="73"/>
      <c r="AA9" s="73"/>
      <c r="AB9" s="73"/>
      <c r="AC9" s="73"/>
      <c r="AD9" s="75"/>
      <c r="AE9" s="73"/>
      <c r="AF9" s="73"/>
      <c r="AG9" s="281"/>
      <c r="AM9" s="302"/>
      <c r="AN9" s="298"/>
      <c r="AO9" s="303"/>
      <c r="AP9" s="298"/>
      <c r="AQ9" s="298"/>
      <c r="AR9" s="298"/>
      <c r="AS9" s="298"/>
      <c r="AT9" s="298"/>
      <c r="AU9" s="276"/>
      <c r="AV9" s="307"/>
      <c r="AW9" s="364"/>
      <c r="AX9" s="62"/>
      <c r="AY9" s="62"/>
      <c r="AZ9" s="1"/>
      <c r="BA9" s="1"/>
      <c r="BB9" s="1"/>
      <c r="BC9" s="1"/>
      <c r="BD9" s="1"/>
      <c r="BE9" s="1"/>
    </row>
    <row r="10" spans="1:57" s="65" customFormat="1" ht="23.25" customHeight="1">
      <c r="A10" s="308"/>
      <c r="B10" s="279" t="s">
        <v>167</v>
      </c>
      <c r="C10" s="70"/>
      <c r="D10" s="70"/>
      <c r="E10" s="214" t="str">
        <f>Data!C22</f>
        <v>District Forest Officer</v>
      </c>
      <c r="F10" s="213"/>
      <c r="G10" s="213"/>
      <c r="H10" s="213"/>
      <c r="I10" s="213"/>
      <c r="J10" s="70"/>
      <c r="K10" s="70"/>
      <c r="L10" s="70"/>
      <c r="M10" s="554" t="s">
        <v>181</v>
      </c>
      <c r="N10" s="554"/>
      <c r="O10" s="554"/>
      <c r="P10" s="554"/>
      <c r="Q10" s="554"/>
      <c r="R10" s="554"/>
      <c r="S10" s="552" t="str">
        <f>Data!C23</f>
        <v>Kakinada Division, Kakinada</v>
      </c>
      <c r="T10" s="552"/>
      <c r="U10" s="552"/>
      <c r="V10" s="552"/>
      <c r="W10" s="552"/>
      <c r="X10" s="552"/>
      <c r="Y10" s="552"/>
      <c r="Z10" s="552"/>
      <c r="AA10" s="552"/>
      <c r="AB10" s="552"/>
      <c r="AC10" s="552"/>
      <c r="AD10" s="552"/>
      <c r="AE10" s="552"/>
      <c r="AF10" s="552"/>
      <c r="AG10" s="553"/>
      <c r="AM10" s="291" t="s">
        <v>182</v>
      </c>
      <c r="AN10" s="275"/>
      <c r="AO10" s="275"/>
      <c r="AP10" s="275"/>
      <c r="AQ10" s="275"/>
      <c r="AR10" s="275"/>
      <c r="AS10" s="275"/>
      <c r="AT10" s="275"/>
      <c r="AU10" s="276"/>
      <c r="AV10" s="307"/>
      <c r="AW10" s="364"/>
      <c r="AX10" s="62"/>
      <c r="AY10" s="62"/>
      <c r="AZ10" s="1"/>
      <c r="BA10" s="1"/>
      <c r="BB10" s="1"/>
      <c r="BC10" s="1"/>
      <c r="BD10" s="1"/>
      <c r="BE10" s="1"/>
    </row>
    <row r="11" spans="1:57" s="65" customFormat="1" ht="6.75" customHeight="1">
      <c r="A11" s="308"/>
      <c r="B11" s="278"/>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280"/>
      <c r="AM11" s="278"/>
      <c r="AN11" s="275"/>
      <c r="AO11" s="275"/>
      <c r="AP11" s="275"/>
      <c r="AQ11" s="275"/>
      <c r="AR11" s="275"/>
      <c r="AS11" s="275"/>
      <c r="AT11" s="275"/>
      <c r="AU11" s="276"/>
      <c r="AV11" s="307"/>
      <c r="AW11" s="364"/>
      <c r="AX11" s="62"/>
      <c r="AY11" s="62"/>
      <c r="AZ11" s="1"/>
      <c r="BA11" s="1"/>
      <c r="BB11" s="1"/>
      <c r="BC11" s="1"/>
      <c r="BD11" s="1"/>
      <c r="BE11" s="1"/>
    </row>
    <row r="12" spans="1:57" s="65" customFormat="1" ht="24" customHeight="1">
      <c r="A12" s="308"/>
      <c r="B12" s="278" t="s">
        <v>183</v>
      </c>
      <c r="C12" s="70"/>
      <c r="D12" s="70"/>
      <c r="E12" s="546" t="str">
        <f>Data!$C$28</f>
        <v>01425</v>
      </c>
      <c r="F12" s="547"/>
      <c r="G12" s="547"/>
      <c r="H12" s="547"/>
      <c r="I12" s="548"/>
      <c r="J12" s="70"/>
      <c r="K12" s="282" t="s">
        <v>184</v>
      </c>
      <c r="L12" s="70"/>
      <c r="M12" s="70"/>
      <c r="N12" s="70"/>
      <c r="O12" s="542" t="str">
        <f>Data!C29</f>
        <v>SBI, Try. Branch, Kakinada</v>
      </c>
      <c r="P12" s="542"/>
      <c r="Q12" s="542"/>
      <c r="R12" s="542"/>
      <c r="S12" s="542"/>
      <c r="T12" s="542"/>
      <c r="U12" s="542"/>
      <c r="V12" s="542"/>
      <c r="W12" s="542"/>
      <c r="X12" s="542"/>
      <c r="Y12" s="542"/>
      <c r="Z12" s="542"/>
      <c r="AA12" s="542"/>
      <c r="AB12" s="542"/>
      <c r="AC12" s="542"/>
      <c r="AD12" s="542"/>
      <c r="AE12" s="542"/>
      <c r="AF12" s="542"/>
      <c r="AG12" s="549"/>
      <c r="AM12" s="291" t="s">
        <v>185</v>
      </c>
      <c r="AN12" s="70"/>
      <c r="AO12" s="70"/>
      <c r="AP12" s="70"/>
      <c r="AQ12" s="275"/>
      <c r="AR12" s="275"/>
      <c r="AS12" s="275"/>
      <c r="AT12" s="275"/>
      <c r="AU12" s="276"/>
      <c r="AV12" s="307"/>
      <c r="AW12" s="364"/>
      <c r="AX12" s="62"/>
      <c r="AY12" s="62"/>
      <c r="BD12" s="1"/>
      <c r="BE12" s="1"/>
    </row>
    <row r="13" spans="1:57" s="65" customFormat="1" ht="7.5" customHeight="1">
      <c r="A13" s="308"/>
      <c r="B13" s="278"/>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280"/>
      <c r="AM13" s="278"/>
      <c r="AN13" s="70"/>
      <c r="AO13" s="70"/>
      <c r="AP13" s="70"/>
      <c r="AQ13" s="275"/>
      <c r="AR13" s="275"/>
      <c r="AS13" s="275"/>
      <c r="AT13" s="275"/>
      <c r="AU13" s="276"/>
      <c r="AV13" s="307"/>
      <c r="AW13" s="364"/>
      <c r="AX13" s="62"/>
      <c r="AY13" s="62"/>
      <c r="BD13" s="1"/>
      <c r="BE13" s="1"/>
    </row>
    <row r="14" spans="1:57" s="65" customFormat="1" ht="20.25" customHeight="1">
      <c r="A14" s="308"/>
      <c r="B14" s="278" t="s">
        <v>186</v>
      </c>
      <c r="C14" s="70"/>
      <c r="D14" s="70"/>
      <c r="E14" s="66">
        <v>8</v>
      </c>
      <c r="F14" s="77"/>
      <c r="G14" s="66">
        <v>0</v>
      </c>
      <c r="H14" s="77"/>
      <c r="I14" s="66">
        <v>1</v>
      </c>
      <c r="J14" s="77"/>
      <c r="K14" s="66">
        <v>1</v>
      </c>
      <c r="L14" s="77"/>
      <c r="M14" s="66">
        <v>0</v>
      </c>
      <c r="N14" s="77"/>
      <c r="O14" s="66">
        <v>0</v>
      </c>
      <c r="P14" s="77"/>
      <c r="Q14" s="77"/>
      <c r="R14" s="532">
        <v>1</v>
      </c>
      <c r="S14" s="533"/>
      <c r="T14" s="77"/>
      <c r="U14" s="66">
        <v>0</v>
      </c>
      <c r="V14" s="77"/>
      <c r="W14" s="66">
        <v>7</v>
      </c>
      <c r="X14" s="77"/>
      <c r="Y14" s="77"/>
      <c r="Z14" s="532">
        <v>0</v>
      </c>
      <c r="AA14" s="534"/>
      <c r="AB14" s="533"/>
      <c r="AC14" s="76"/>
      <c r="AD14" s="532">
        <v>0</v>
      </c>
      <c r="AE14" s="534"/>
      <c r="AF14" s="533"/>
      <c r="AG14" s="283"/>
      <c r="AM14" s="304" t="s">
        <v>187</v>
      </c>
      <c r="AN14" s="78" t="s">
        <v>188</v>
      </c>
      <c r="AO14" s="78"/>
      <c r="AP14" s="79"/>
      <c r="AQ14" s="275"/>
      <c r="AR14" s="275"/>
      <c r="AS14" s="275"/>
      <c r="AT14" s="275"/>
      <c r="AU14" s="276"/>
      <c r="AV14" s="307"/>
      <c r="AW14" s="364"/>
      <c r="AX14" s="62"/>
      <c r="AY14" s="62"/>
      <c r="BD14" s="1"/>
      <c r="BE14" s="1"/>
    </row>
    <row r="15" spans="1:57" s="65" customFormat="1" ht="3.75" customHeight="1">
      <c r="A15" s="308"/>
      <c r="B15" s="278"/>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280"/>
      <c r="AM15" s="278"/>
      <c r="AN15" s="70"/>
      <c r="AO15" s="70"/>
      <c r="AP15" s="70"/>
      <c r="AQ15" s="70"/>
      <c r="AR15" s="70"/>
      <c r="AS15" s="70"/>
      <c r="AT15" s="70"/>
      <c r="AU15" s="280"/>
      <c r="AV15" s="307"/>
      <c r="AW15" s="364"/>
      <c r="AX15" s="62"/>
      <c r="AY15" s="62"/>
      <c r="BD15" s="1"/>
      <c r="BE15" s="1"/>
    </row>
    <row r="16" spans="1:57" s="65" customFormat="1" ht="12" customHeight="1">
      <c r="A16" s="308"/>
      <c r="B16" s="278"/>
      <c r="C16" s="70"/>
      <c r="D16" s="70"/>
      <c r="E16" s="540" t="s">
        <v>189</v>
      </c>
      <c r="F16" s="540"/>
      <c r="G16" s="540"/>
      <c r="H16" s="540"/>
      <c r="I16" s="540"/>
      <c r="J16" s="540"/>
      <c r="K16" s="540"/>
      <c r="L16" s="70"/>
      <c r="M16" s="540" t="s">
        <v>190</v>
      </c>
      <c r="N16" s="541"/>
      <c r="O16" s="541"/>
      <c r="P16" s="70"/>
      <c r="Q16" s="70"/>
      <c r="R16" s="510" t="s">
        <v>191</v>
      </c>
      <c r="S16" s="512"/>
      <c r="T16" s="512"/>
      <c r="U16" s="512"/>
      <c r="V16" s="512"/>
      <c r="W16" s="512"/>
      <c r="X16" s="70"/>
      <c r="Y16" s="70"/>
      <c r="Z16" s="510" t="s">
        <v>192</v>
      </c>
      <c r="AA16" s="512"/>
      <c r="AB16" s="512"/>
      <c r="AC16" s="512"/>
      <c r="AD16" s="512"/>
      <c r="AE16" s="512"/>
      <c r="AF16" s="77"/>
      <c r="AG16" s="283"/>
      <c r="AM16" s="544"/>
      <c r="AN16" s="545"/>
      <c r="AO16" s="545"/>
      <c r="AP16" s="545"/>
      <c r="AQ16" s="70"/>
      <c r="AR16" s="70"/>
      <c r="AS16" s="70"/>
      <c r="AT16" s="70"/>
      <c r="AU16" s="280"/>
      <c r="AV16" s="307"/>
      <c r="AW16" s="364"/>
      <c r="AX16" s="62"/>
      <c r="AY16" s="62"/>
      <c r="BD16" s="1"/>
      <c r="BE16" s="1"/>
    </row>
    <row r="17" spans="1:57" s="65" customFormat="1" ht="5.25" customHeight="1">
      <c r="A17" s="308"/>
      <c r="B17" s="278"/>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280"/>
      <c r="AM17" s="278"/>
      <c r="AN17" s="70"/>
      <c r="AO17" s="70"/>
      <c r="AP17" s="70"/>
      <c r="AQ17" s="70"/>
      <c r="AR17" s="70"/>
      <c r="AS17" s="70"/>
      <c r="AT17" s="70"/>
      <c r="AU17" s="280"/>
      <c r="AV17" s="307"/>
      <c r="AW17" s="364"/>
      <c r="AX17" s="62"/>
      <c r="AY17" s="62"/>
      <c r="BD17" s="1"/>
      <c r="BE17" s="1"/>
    </row>
    <row r="18" spans="1:57" s="65" customFormat="1" ht="21.75" customHeight="1">
      <c r="A18" s="308"/>
      <c r="B18" s="278"/>
      <c r="C18" s="70"/>
      <c r="D18" s="70"/>
      <c r="E18" s="70"/>
      <c r="F18" s="70"/>
      <c r="G18" s="66">
        <v>0</v>
      </c>
      <c r="H18" s="77"/>
      <c r="I18" s="66">
        <v>1</v>
      </c>
      <c r="J18" s="77"/>
      <c r="K18" s="77"/>
      <c r="L18" s="77"/>
      <c r="M18" s="66">
        <v>0</v>
      </c>
      <c r="N18" s="77"/>
      <c r="O18" s="66">
        <v>0</v>
      </c>
      <c r="P18" s="77"/>
      <c r="Q18" s="532">
        <v>0</v>
      </c>
      <c r="R18" s="533"/>
      <c r="S18" s="77"/>
      <c r="T18" s="77"/>
      <c r="U18" s="77"/>
      <c r="V18" s="77"/>
      <c r="W18" s="66">
        <v>0</v>
      </c>
      <c r="X18" s="77"/>
      <c r="Y18" s="532">
        <v>0</v>
      </c>
      <c r="Z18" s="533"/>
      <c r="AA18" s="77"/>
      <c r="AB18" s="532">
        <v>2</v>
      </c>
      <c r="AC18" s="534"/>
      <c r="AD18" s="533"/>
      <c r="AE18" s="70"/>
      <c r="AF18" s="70"/>
      <c r="AG18" s="280"/>
      <c r="AM18" s="291"/>
      <c r="AN18" s="275"/>
      <c r="AO18" s="509" t="s">
        <v>193</v>
      </c>
      <c r="AP18" s="509"/>
      <c r="AQ18" s="80"/>
      <c r="AR18" s="277" t="s">
        <v>194</v>
      </c>
      <c r="AS18" s="81"/>
      <c r="AT18" s="288" t="s">
        <v>195</v>
      </c>
      <c r="AU18" s="343">
        <f>Y25</f>
        <v>11487</v>
      </c>
      <c r="AV18" s="307"/>
      <c r="AW18" s="364"/>
      <c r="AX18" s="62"/>
      <c r="AY18" s="62"/>
      <c r="BD18" s="1"/>
      <c r="BE18" s="1"/>
    </row>
    <row r="19" spans="1:57" s="65" customFormat="1" ht="3.75" customHeight="1">
      <c r="A19" s="308"/>
      <c r="B19" s="278"/>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280"/>
      <c r="AM19" s="291"/>
      <c r="AN19" s="275"/>
      <c r="AO19" s="275"/>
      <c r="AP19" s="275"/>
      <c r="AQ19" s="275"/>
      <c r="AR19" s="275"/>
      <c r="AS19" s="275"/>
      <c r="AT19" s="275"/>
      <c r="AU19" s="276"/>
      <c r="AV19" s="307"/>
      <c r="AW19" s="364"/>
      <c r="AX19" s="62"/>
      <c r="AY19" s="62"/>
      <c r="BD19" s="1"/>
      <c r="BE19" s="1"/>
    </row>
    <row r="20" spans="1:57" s="65" customFormat="1" ht="12" customHeight="1">
      <c r="A20" s="308"/>
      <c r="B20" s="278"/>
      <c r="C20" s="70"/>
      <c r="D20" s="70"/>
      <c r="E20" s="70"/>
      <c r="F20" s="70"/>
      <c r="G20" s="510" t="s">
        <v>196</v>
      </c>
      <c r="H20" s="512"/>
      <c r="I20" s="512"/>
      <c r="J20" s="70"/>
      <c r="K20" s="70"/>
      <c r="L20" s="70"/>
      <c r="M20" s="510" t="s">
        <v>197</v>
      </c>
      <c r="N20" s="512"/>
      <c r="O20" s="512"/>
      <c r="P20" s="512"/>
      <c r="Q20" s="512"/>
      <c r="R20" s="512"/>
      <c r="S20" s="70"/>
      <c r="T20" s="70"/>
      <c r="U20" s="70"/>
      <c r="V20" s="70"/>
      <c r="W20" s="510" t="s">
        <v>198</v>
      </c>
      <c r="X20" s="512"/>
      <c r="Y20" s="512"/>
      <c r="Z20" s="512"/>
      <c r="AA20" s="512"/>
      <c r="AB20" s="512"/>
      <c r="AC20" s="512"/>
      <c r="AD20" s="512"/>
      <c r="AE20" s="70"/>
      <c r="AF20" s="70"/>
      <c r="AG20" s="280"/>
      <c r="AM20" s="500" t="str">
        <f>B27</f>
        <v>(Net Rupees Eleven thousand Four hundred Eighty Seven only)</v>
      </c>
      <c r="AN20" s="535"/>
      <c r="AO20" s="535"/>
      <c r="AP20" s="535"/>
      <c r="AQ20" s="535"/>
      <c r="AR20" s="535"/>
      <c r="AS20" s="535"/>
      <c r="AT20" s="535"/>
      <c r="AU20" s="536"/>
      <c r="AV20" s="307"/>
      <c r="AW20" s="364"/>
      <c r="AX20" s="62"/>
      <c r="AY20" s="62"/>
      <c r="BD20" s="1"/>
      <c r="BE20" s="1"/>
    </row>
    <row r="21" spans="1:57" s="65" customFormat="1" ht="5.25" customHeight="1">
      <c r="A21" s="308"/>
      <c r="B21" s="278"/>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280"/>
      <c r="AM21" s="500"/>
      <c r="AN21" s="535"/>
      <c r="AO21" s="535"/>
      <c r="AP21" s="535"/>
      <c r="AQ21" s="535"/>
      <c r="AR21" s="535"/>
      <c r="AS21" s="535"/>
      <c r="AT21" s="535"/>
      <c r="AU21" s="536"/>
      <c r="AV21" s="307"/>
      <c r="AW21" s="364"/>
      <c r="AX21" s="62"/>
      <c r="AY21" s="62"/>
      <c r="BD21" s="1"/>
      <c r="BE21" s="1"/>
    </row>
    <row r="22" spans="1:57" s="65" customFormat="1" ht="12" customHeight="1">
      <c r="A22" s="308"/>
      <c r="B22" s="284" t="s">
        <v>199</v>
      </c>
      <c r="C22" s="522" t="s">
        <v>31</v>
      </c>
      <c r="D22" s="70"/>
      <c r="E22" s="285" t="s">
        <v>200</v>
      </c>
      <c r="F22" s="70"/>
      <c r="G22" s="70"/>
      <c r="H22" s="70"/>
      <c r="I22" s="70"/>
      <c r="J22" s="70"/>
      <c r="K22" s="522" t="s">
        <v>33</v>
      </c>
      <c r="L22" s="70"/>
      <c r="M22" s="286" t="s">
        <v>201</v>
      </c>
      <c r="N22" s="70"/>
      <c r="O22" s="70"/>
      <c r="P22" s="70"/>
      <c r="Q22" s="70"/>
      <c r="R22" s="70"/>
      <c r="S22" s="70"/>
      <c r="T22" s="70"/>
      <c r="U22" s="70"/>
      <c r="V22" s="70"/>
      <c r="W22" s="522">
        <v>8</v>
      </c>
      <c r="X22" s="70"/>
      <c r="Y22" s="524">
        <v>0</v>
      </c>
      <c r="Z22" s="525"/>
      <c r="AA22" s="70"/>
      <c r="AB22" s="524">
        <v>1</v>
      </c>
      <c r="AC22" s="528"/>
      <c r="AD22" s="525"/>
      <c r="AE22" s="70"/>
      <c r="AF22" s="524">
        <v>1</v>
      </c>
      <c r="AG22" s="530"/>
      <c r="AH22" s="70"/>
      <c r="AM22" s="537"/>
      <c r="AN22" s="538"/>
      <c r="AO22" s="538"/>
      <c r="AP22" s="538"/>
      <c r="AQ22" s="538"/>
      <c r="AR22" s="538"/>
      <c r="AS22" s="538"/>
      <c r="AT22" s="538"/>
      <c r="AU22" s="539"/>
      <c r="AV22" s="307"/>
      <c r="AW22" s="364"/>
      <c r="AX22" s="62"/>
      <c r="AY22" s="62"/>
      <c r="BD22" s="1"/>
      <c r="BE22" s="1"/>
    </row>
    <row r="23" spans="1:57" s="65" customFormat="1" ht="14.25" customHeight="1">
      <c r="A23" s="308"/>
      <c r="B23" s="284" t="s">
        <v>202</v>
      </c>
      <c r="C23" s="523"/>
      <c r="D23" s="70"/>
      <c r="E23" s="285" t="s">
        <v>203</v>
      </c>
      <c r="F23" s="70"/>
      <c r="G23" s="70"/>
      <c r="H23" s="70"/>
      <c r="I23" s="70"/>
      <c r="J23" s="70"/>
      <c r="K23" s="523"/>
      <c r="L23" s="70"/>
      <c r="M23" s="286" t="s">
        <v>204</v>
      </c>
      <c r="N23" s="70"/>
      <c r="O23" s="70"/>
      <c r="P23" s="70"/>
      <c r="Q23" s="70"/>
      <c r="R23" s="70"/>
      <c r="S23" s="70"/>
      <c r="T23" s="70"/>
      <c r="U23" s="70"/>
      <c r="V23" s="70"/>
      <c r="W23" s="523"/>
      <c r="X23" s="70"/>
      <c r="Y23" s="526"/>
      <c r="Z23" s="527"/>
      <c r="AA23" s="70"/>
      <c r="AB23" s="526"/>
      <c r="AC23" s="529"/>
      <c r="AD23" s="527"/>
      <c r="AE23" s="70"/>
      <c r="AF23" s="526"/>
      <c r="AG23" s="531"/>
      <c r="AH23" s="70"/>
      <c r="AM23" s="305" t="s">
        <v>205</v>
      </c>
      <c r="AN23" s="79"/>
      <c r="AO23" s="515"/>
      <c r="AP23" s="515"/>
      <c r="AQ23" s="515"/>
      <c r="AR23" s="515"/>
      <c r="AS23" s="515"/>
      <c r="AT23" s="306" t="s">
        <v>206</v>
      </c>
      <c r="AU23" s="276"/>
      <c r="AV23" s="307"/>
      <c r="AW23" s="364"/>
      <c r="AX23" s="62"/>
      <c r="AY23" s="62"/>
      <c r="BD23" s="1"/>
      <c r="BE23" s="1"/>
    </row>
    <row r="24" spans="1:57" s="65" customFormat="1" ht="15" customHeight="1">
      <c r="A24" s="308"/>
      <c r="B24" s="278"/>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280"/>
      <c r="AM24" s="516" t="str">
        <f>Data!C23</f>
        <v>Kakinada Division, Kakinada</v>
      </c>
      <c r="AN24" s="517"/>
      <c r="AO24" s="518"/>
      <c r="AP24" s="518"/>
      <c r="AQ24" s="518"/>
      <c r="AR24" s="275" t="s">
        <v>207</v>
      </c>
      <c r="AS24" s="275"/>
      <c r="AT24" s="275"/>
      <c r="AU24" s="276"/>
      <c r="AV24" s="307"/>
      <c r="AW24" s="364"/>
      <c r="AX24" s="62"/>
      <c r="AY24" s="62"/>
      <c r="BD24" s="1"/>
      <c r="BE24" s="1"/>
    </row>
    <row r="25" spans="1:57" s="65" customFormat="1" ht="15" customHeight="1">
      <c r="A25" s="308"/>
      <c r="B25" s="287" t="s">
        <v>208</v>
      </c>
      <c r="C25" s="519">
        <f>'Calculation sheet'!G27</f>
        <v>11487</v>
      </c>
      <c r="D25" s="519"/>
      <c r="E25" s="519"/>
      <c r="F25" s="519"/>
      <c r="G25" s="519"/>
      <c r="H25" s="70"/>
      <c r="I25" s="520" t="s">
        <v>209</v>
      </c>
      <c r="J25" s="520"/>
      <c r="K25" s="520"/>
      <c r="L25" s="520"/>
      <c r="M25" s="520"/>
      <c r="N25" s="70"/>
      <c r="O25" s="519">
        <v>0</v>
      </c>
      <c r="P25" s="519"/>
      <c r="Q25" s="519"/>
      <c r="R25" s="519"/>
      <c r="S25" s="519"/>
      <c r="T25" s="70"/>
      <c r="U25" s="520" t="s">
        <v>210</v>
      </c>
      <c r="V25" s="520"/>
      <c r="W25" s="520"/>
      <c r="X25" s="70"/>
      <c r="Y25" s="519">
        <f>C25</f>
        <v>11487</v>
      </c>
      <c r="Z25" s="519"/>
      <c r="AA25" s="519"/>
      <c r="AB25" s="519"/>
      <c r="AC25" s="519"/>
      <c r="AD25" s="519"/>
      <c r="AE25" s="519"/>
      <c r="AF25" s="519"/>
      <c r="AG25" s="521"/>
      <c r="AM25" s="278" t="s">
        <v>211</v>
      </c>
      <c r="AN25" s="275"/>
      <c r="AO25" s="275"/>
      <c r="AP25" s="275"/>
      <c r="AQ25" s="275"/>
      <c r="AR25" s="275"/>
      <c r="AS25" s="70"/>
      <c r="AT25" s="275"/>
      <c r="AU25" s="276"/>
      <c r="AV25" s="307"/>
      <c r="AW25" s="364"/>
      <c r="AX25" s="62"/>
      <c r="AY25" s="62"/>
      <c r="BD25" s="1"/>
      <c r="BE25" s="1"/>
    </row>
    <row r="26" spans="1:57" s="65" customFormat="1" ht="12" customHeight="1">
      <c r="A26" s="308"/>
      <c r="B26" s="287"/>
      <c r="C26" s="82"/>
      <c r="D26" s="82"/>
      <c r="E26" s="82"/>
      <c r="F26" s="82"/>
      <c r="G26" s="82"/>
      <c r="H26" s="70"/>
      <c r="I26" s="288"/>
      <c r="J26" s="288"/>
      <c r="K26" s="288"/>
      <c r="L26" s="288"/>
      <c r="M26" s="288"/>
      <c r="N26" s="70"/>
      <c r="O26" s="82"/>
      <c r="P26" s="82"/>
      <c r="Q26" s="82"/>
      <c r="R26" s="82"/>
      <c r="S26" s="82"/>
      <c r="T26" s="70"/>
      <c r="U26" s="288"/>
      <c r="V26" s="288"/>
      <c r="W26" s="288"/>
      <c r="X26" s="70"/>
      <c r="Y26" s="82"/>
      <c r="Z26" s="82"/>
      <c r="AA26" s="82"/>
      <c r="AB26" s="82"/>
      <c r="AC26" s="82"/>
      <c r="AD26" s="82"/>
      <c r="AE26" s="82"/>
      <c r="AF26" s="82"/>
      <c r="AG26" s="289"/>
      <c r="AM26" s="278"/>
      <c r="AN26" s="275"/>
      <c r="AO26" s="275"/>
      <c r="AP26" s="275"/>
      <c r="AQ26" s="275"/>
      <c r="AR26" s="275"/>
      <c r="AS26" s="70"/>
      <c r="AT26" s="275"/>
      <c r="AU26" s="276"/>
      <c r="AV26" s="307"/>
      <c r="AW26" s="364"/>
      <c r="AX26" s="62"/>
      <c r="AY26" s="62"/>
      <c r="BD26" s="1"/>
      <c r="BE26" s="1"/>
    </row>
    <row r="27" spans="1:57" s="65" customFormat="1" ht="12" customHeight="1">
      <c r="A27" s="308"/>
      <c r="B27" s="500" t="str">
        <f>"(Net Rupees "&amp;B116&amp;")"</f>
        <v>(Net Rupees Eleven thousand Four hundred Eighty Seven only)</v>
      </c>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2"/>
      <c r="AM27" s="278"/>
      <c r="AN27" s="275"/>
      <c r="AO27" s="275"/>
      <c r="AP27" s="275"/>
      <c r="AQ27" s="275"/>
      <c r="AR27" s="275"/>
      <c r="AS27" s="70"/>
      <c r="AT27" s="275"/>
      <c r="AU27" s="276"/>
      <c r="AV27" s="307"/>
      <c r="AW27" s="364"/>
      <c r="AX27" s="62"/>
      <c r="AY27" s="62"/>
      <c r="BD27" s="1"/>
      <c r="BE27" s="1"/>
    </row>
    <row r="28" spans="1:57" s="65" customFormat="1" ht="17.25" customHeight="1">
      <c r="A28" s="308"/>
      <c r="B28" s="503"/>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5"/>
      <c r="AM28" s="291" t="s">
        <v>212</v>
      </c>
      <c r="AN28" s="275"/>
      <c r="AO28" s="275"/>
      <c r="AP28" s="275"/>
      <c r="AQ28" s="275"/>
      <c r="AR28" s="275"/>
      <c r="AS28" s="275" t="s">
        <v>213</v>
      </c>
      <c r="AT28" s="275"/>
      <c r="AU28" s="276"/>
      <c r="AV28" s="307"/>
      <c r="AW28" s="364"/>
      <c r="AX28" s="62"/>
      <c r="AY28" s="62"/>
      <c r="BD28" s="1"/>
      <c r="BE28" s="1"/>
    </row>
    <row r="29" spans="1:57" s="65" customFormat="1" ht="18" customHeight="1">
      <c r="A29" s="308"/>
      <c r="B29" s="279" t="s">
        <v>214</v>
      </c>
      <c r="C29" s="70"/>
      <c r="D29" s="70"/>
      <c r="E29" s="513"/>
      <c r="F29" s="514"/>
      <c r="G29" s="514"/>
      <c r="H29" s="514"/>
      <c r="I29" s="514"/>
      <c r="J29" s="514"/>
      <c r="K29" s="514"/>
      <c r="L29" s="514"/>
      <c r="M29" s="514"/>
      <c r="N29" s="70"/>
      <c r="O29" s="290" t="s">
        <v>215</v>
      </c>
      <c r="P29" s="70"/>
      <c r="Q29" s="70"/>
      <c r="R29" s="70"/>
      <c r="S29" s="70"/>
      <c r="T29" s="70"/>
      <c r="U29" s="506"/>
      <c r="V29" s="506"/>
      <c r="W29" s="506"/>
      <c r="X29" s="506"/>
      <c r="Y29" s="506"/>
      <c r="Z29" s="506"/>
      <c r="AA29" s="506"/>
      <c r="AB29" s="506"/>
      <c r="AC29" s="506"/>
      <c r="AD29" s="506"/>
      <c r="AE29" s="506"/>
      <c r="AF29" s="506"/>
      <c r="AG29" s="507"/>
      <c r="AM29" s="291" t="s">
        <v>216</v>
      </c>
      <c r="AN29" s="275"/>
      <c r="AO29" s="275"/>
      <c r="AP29" s="275"/>
      <c r="AQ29" s="275"/>
      <c r="AR29" s="275"/>
      <c r="AS29" s="275" t="s">
        <v>216</v>
      </c>
      <c r="AT29" s="275"/>
      <c r="AU29" s="276"/>
      <c r="AV29" s="307"/>
      <c r="AW29" s="364"/>
      <c r="AX29" s="62"/>
      <c r="AY29" s="62"/>
      <c r="AZ29" s="1"/>
      <c r="BA29" s="1"/>
      <c r="BB29" s="1"/>
      <c r="BC29" s="1"/>
      <c r="BD29" s="1"/>
      <c r="BE29" s="1"/>
    </row>
    <row r="30" spans="1:57" s="65" customFormat="1" ht="15" customHeight="1">
      <c r="A30" s="308"/>
      <c r="B30" s="278" t="s">
        <v>217</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280"/>
      <c r="AM30" s="291"/>
      <c r="AN30" s="275"/>
      <c r="AO30" s="275"/>
      <c r="AP30" s="275"/>
      <c r="AQ30" s="275"/>
      <c r="AR30" s="275"/>
      <c r="AS30" s="275"/>
      <c r="AT30" s="275"/>
      <c r="AU30" s="276"/>
      <c r="AV30" s="307"/>
      <c r="AW30" s="364"/>
      <c r="AX30" s="62"/>
      <c r="AY30" s="62"/>
      <c r="AZ30" s="1"/>
      <c r="BA30" s="1"/>
      <c r="BB30" s="1"/>
      <c r="BC30" s="1"/>
      <c r="BD30" s="1"/>
      <c r="BE30" s="1"/>
    </row>
    <row r="31" spans="1:57" s="65" customFormat="1" ht="20.25" customHeight="1">
      <c r="A31" s="308"/>
      <c r="B31" s="278"/>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280"/>
      <c r="AM31" s="291"/>
      <c r="AN31" s="275"/>
      <c r="AO31" s="275"/>
      <c r="AP31" s="275"/>
      <c r="AQ31" s="275"/>
      <c r="AR31" s="275"/>
      <c r="AS31" s="275"/>
      <c r="AT31" s="275"/>
      <c r="AU31" s="276"/>
      <c r="AV31" s="307"/>
      <c r="AW31" s="364"/>
      <c r="AX31" s="62"/>
      <c r="AY31" s="62"/>
      <c r="AZ31" s="1"/>
      <c r="BA31" s="1"/>
      <c r="BB31" s="1"/>
      <c r="BC31" s="1"/>
      <c r="BD31" s="1"/>
      <c r="BE31" s="1"/>
    </row>
    <row r="32" spans="1:57" s="65" customFormat="1" ht="13.5" customHeight="1">
      <c r="A32" s="308"/>
      <c r="B32" s="278"/>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280"/>
      <c r="AM32" s="508" t="s">
        <v>218</v>
      </c>
      <c r="AN32" s="509"/>
      <c r="AO32" s="275"/>
      <c r="AP32" s="275"/>
      <c r="AQ32" s="275"/>
      <c r="AR32" s="275"/>
      <c r="AS32" s="275"/>
      <c r="AT32" s="275"/>
      <c r="AU32" s="276"/>
      <c r="AV32" s="307"/>
      <c r="AW32" s="364"/>
      <c r="AX32" s="62"/>
      <c r="AY32" s="62"/>
      <c r="AZ32" s="1"/>
      <c r="BA32" s="1"/>
      <c r="BB32" s="1"/>
      <c r="BC32" s="1"/>
      <c r="BD32" s="1"/>
      <c r="BE32" s="1"/>
    </row>
    <row r="33" spans="1:57" s="65" customFormat="1" ht="20.25" customHeight="1">
      <c r="A33" s="308"/>
      <c r="B33" s="278" t="s">
        <v>219</v>
      </c>
      <c r="C33" s="70"/>
      <c r="D33" s="70"/>
      <c r="E33" s="70"/>
      <c r="F33" s="70"/>
      <c r="G33" s="286" t="s">
        <v>220</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280"/>
      <c r="AM33" s="291"/>
      <c r="AN33" s="275"/>
      <c r="AO33" s="275"/>
      <c r="AP33" s="275"/>
      <c r="AQ33" s="275"/>
      <c r="AR33" s="275"/>
      <c r="AS33" s="275"/>
      <c r="AT33" s="275"/>
      <c r="AU33" s="276"/>
      <c r="AV33" s="307"/>
      <c r="AW33" s="364"/>
      <c r="AX33" s="62"/>
      <c r="AY33" s="62"/>
      <c r="AZ33" s="1"/>
      <c r="BA33" s="83"/>
      <c r="BB33" s="1"/>
      <c r="BC33" s="1"/>
      <c r="BD33" s="1"/>
      <c r="BE33" s="1"/>
    </row>
    <row r="34" spans="1:57" s="65" customFormat="1" ht="20.25" customHeight="1">
      <c r="A34" s="308"/>
      <c r="B34" s="278" t="s">
        <v>221</v>
      </c>
      <c r="C34" s="70"/>
      <c r="D34" s="70"/>
      <c r="E34" s="70"/>
      <c r="F34" s="70"/>
      <c r="G34" s="286" t="s">
        <v>222</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280"/>
      <c r="AM34" s="291"/>
      <c r="AN34" s="275"/>
      <c r="AO34" s="275"/>
      <c r="AP34" s="275"/>
      <c r="AQ34" s="275"/>
      <c r="AR34" s="275"/>
      <c r="AS34" s="275"/>
      <c r="AT34" s="275"/>
      <c r="AU34" s="276"/>
      <c r="AV34" s="307"/>
      <c r="AW34" s="364"/>
      <c r="AX34" s="62"/>
      <c r="AY34" s="62"/>
      <c r="AZ34" s="1"/>
      <c r="BA34" s="83"/>
      <c r="BB34" s="1"/>
      <c r="BC34" s="1"/>
      <c r="BD34" s="1"/>
      <c r="BE34" s="1"/>
    </row>
    <row r="35" spans="1:57" s="65" customFormat="1" ht="11.25" customHeight="1" hidden="1">
      <c r="A35" s="308"/>
      <c r="B35" s="278"/>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280"/>
      <c r="AM35" s="291"/>
      <c r="AN35" s="275"/>
      <c r="AO35" s="275"/>
      <c r="AP35" s="275"/>
      <c r="AQ35" s="275"/>
      <c r="AR35" s="275"/>
      <c r="AS35" s="275"/>
      <c r="AT35" s="275"/>
      <c r="AU35" s="276"/>
      <c r="AV35" s="307"/>
      <c r="AW35" s="364"/>
      <c r="AX35" s="62"/>
      <c r="AY35" s="62"/>
      <c r="AZ35" s="1"/>
      <c r="BA35" s="1"/>
      <c r="BB35" s="1"/>
      <c r="BC35" s="1"/>
      <c r="BD35" s="1"/>
      <c r="BE35" s="1"/>
    </row>
    <row r="36" spans="1:57" s="65" customFormat="1" ht="11.25" customHeight="1">
      <c r="A36" s="308"/>
      <c r="B36" s="278"/>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280"/>
      <c r="AM36" s="291" t="s">
        <v>223</v>
      </c>
      <c r="AN36" s="275"/>
      <c r="AO36" s="275"/>
      <c r="AP36" s="275"/>
      <c r="AQ36" s="275"/>
      <c r="AR36" s="275"/>
      <c r="AS36" s="275" t="s">
        <v>212</v>
      </c>
      <c r="AT36" s="275"/>
      <c r="AU36" s="276"/>
      <c r="AV36" s="307"/>
      <c r="AW36" s="364"/>
      <c r="AX36" s="62"/>
      <c r="AY36" s="62"/>
      <c r="AZ36" s="1"/>
      <c r="BA36" s="1"/>
      <c r="BB36" s="1"/>
      <c r="BC36" s="1"/>
      <c r="BD36" s="1"/>
      <c r="BE36" s="1"/>
    </row>
    <row r="37" spans="1:57" s="65" customFormat="1" ht="11.25" customHeight="1">
      <c r="A37" s="308"/>
      <c r="B37" s="278"/>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280"/>
      <c r="AM37" s="291"/>
      <c r="AN37" s="275"/>
      <c r="AO37" s="275"/>
      <c r="AP37" s="275"/>
      <c r="AQ37" s="275"/>
      <c r="AR37" s="275"/>
      <c r="AS37" s="275" t="s">
        <v>224</v>
      </c>
      <c r="AT37" s="275"/>
      <c r="AU37" s="276"/>
      <c r="AV37" s="307"/>
      <c r="AW37" s="364"/>
      <c r="AX37" s="62"/>
      <c r="AY37" s="62"/>
      <c r="AZ37" s="1"/>
      <c r="BA37" s="1"/>
      <c r="BB37" s="1"/>
      <c r="BC37" s="1"/>
      <c r="BD37" s="1"/>
      <c r="BE37" s="1"/>
    </row>
    <row r="38" spans="1:57" s="65" customFormat="1" ht="20.25" customHeight="1">
      <c r="A38" s="308"/>
      <c r="B38" s="278" t="s">
        <v>225</v>
      </c>
      <c r="C38" s="70"/>
      <c r="D38" s="70"/>
      <c r="E38" s="70"/>
      <c r="F38" s="70"/>
      <c r="G38" s="70"/>
      <c r="H38" s="70"/>
      <c r="I38" s="510" t="s">
        <v>218</v>
      </c>
      <c r="J38" s="510"/>
      <c r="K38" s="510"/>
      <c r="L38" s="510"/>
      <c r="M38" s="510"/>
      <c r="N38" s="510"/>
      <c r="O38" s="510"/>
      <c r="P38" s="70"/>
      <c r="Q38" s="70"/>
      <c r="R38" s="70"/>
      <c r="S38" s="70"/>
      <c r="T38" s="70"/>
      <c r="U38" s="70"/>
      <c r="V38" s="70"/>
      <c r="W38" s="510" t="s">
        <v>226</v>
      </c>
      <c r="X38" s="510"/>
      <c r="Y38" s="510"/>
      <c r="Z38" s="510"/>
      <c r="AA38" s="510"/>
      <c r="AB38" s="510"/>
      <c r="AC38" s="510"/>
      <c r="AD38" s="510"/>
      <c r="AE38" s="510"/>
      <c r="AF38" s="510"/>
      <c r="AG38" s="511"/>
      <c r="AM38" s="278"/>
      <c r="AN38" s="70"/>
      <c r="AO38" s="70"/>
      <c r="AP38" s="70"/>
      <c r="AQ38" s="70"/>
      <c r="AR38" s="70"/>
      <c r="AS38" s="70"/>
      <c r="AT38" s="70"/>
      <c r="AU38" s="280"/>
      <c r="AV38" s="308"/>
      <c r="AW38" s="365"/>
      <c r="AZ38" s="1"/>
      <c r="BA38" s="1"/>
      <c r="BB38" s="1"/>
      <c r="BC38" s="1"/>
      <c r="BD38" s="1"/>
      <c r="BE38" s="1"/>
    </row>
    <row r="39" spans="2:47" ht="12.75">
      <c r="B39" s="291"/>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6"/>
      <c r="AM39" s="291"/>
      <c r="AN39" s="275"/>
      <c r="AO39" s="275"/>
      <c r="AP39" s="275"/>
      <c r="AQ39" s="275"/>
      <c r="AR39" s="275"/>
      <c r="AS39" s="275"/>
      <c r="AT39" s="275"/>
      <c r="AU39" s="276"/>
    </row>
    <row r="40" spans="2:47" ht="12.75">
      <c r="B40" s="291"/>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6"/>
      <c r="AM40" s="291"/>
      <c r="AN40" s="275"/>
      <c r="AO40" s="275"/>
      <c r="AP40" s="275"/>
      <c r="AQ40" s="275"/>
      <c r="AR40" s="275"/>
      <c r="AS40" s="275"/>
      <c r="AT40" s="275"/>
      <c r="AU40" s="276"/>
    </row>
    <row r="41" spans="2:47" ht="12.75">
      <c r="B41" s="291"/>
      <c r="C41" s="275"/>
      <c r="D41" s="275"/>
      <c r="E41" s="275"/>
      <c r="F41" s="275"/>
      <c r="G41" s="512" t="s">
        <v>225</v>
      </c>
      <c r="H41" s="512"/>
      <c r="I41" s="512"/>
      <c r="J41" s="512"/>
      <c r="K41" s="512"/>
      <c r="L41" s="512"/>
      <c r="M41" s="512"/>
      <c r="N41" s="512"/>
      <c r="O41" s="512"/>
      <c r="P41" s="512"/>
      <c r="Q41" s="512"/>
      <c r="R41" s="512"/>
      <c r="S41" s="275"/>
      <c r="T41" s="275"/>
      <c r="U41" s="275"/>
      <c r="V41" s="275"/>
      <c r="W41" s="275"/>
      <c r="X41" s="275"/>
      <c r="Y41" s="275"/>
      <c r="Z41" s="275"/>
      <c r="AA41" s="275"/>
      <c r="AB41" s="275"/>
      <c r="AC41" s="275"/>
      <c r="AD41" s="275"/>
      <c r="AE41" s="275"/>
      <c r="AF41" s="275"/>
      <c r="AG41" s="276"/>
      <c r="AM41" s="291"/>
      <c r="AN41" s="275"/>
      <c r="AO41" s="275"/>
      <c r="AP41" s="275"/>
      <c r="AQ41" s="275"/>
      <c r="AR41" s="275"/>
      <c r="AS41" s="275"/>
      <c r="AT41" s="275"/>
      <c r="AU41" s="276"/>
    </row>
    <row r="42" spans="2:47" ht="12.75">
      <c r="B42" s="291"/>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6"/>
      <c r="AM42" s="291"/>
      <c r="AN42" s="275"/>
      <c r="AO42" s="275"/>
      <c r="AP42" s="275"/>
      <c r="AQ42" s="275"/>
      <c r="AR42" s="275"/>
      <c r="AS42" s="275"/>
      <c r="AT42" s="275"/>
      <c r="AU42" s="276"/>
    </row>
    <row r="43" spans="2:53" ht="12.75">
      <c r="B43" s="291"/>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6"/>
      <c r="AM43" s="291"/>
      <c r="AN43" s="275"/>
      <c r="AO43" s="275"/>
      <c r="AP43" s="275"/>
      <c r="AQ43" s="275"/>
      <c r="AR43" s="275"/>
      <c r="AS43" s="275"/>
      <c r="AT43" s="275"/>
      <c r="AU43" s="276"/>
      <c r="BA43" s="60" t="str">
        <f>Data!$C$26</f>
        <v>03010402001</v>
      </c>
    </row>
    <row r="44" spans="2:52" ht="12.75">
      <c r="B44" s="291"/>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6"/>
      <c r="AM44" s="291"/>
      <c r="AN44" s="275"/>
      <c r="AO44" s="275"/>
      <c r="AP44" s="275"/>
      <c r="AQ44" s="275"/>
      <c r="AR44" s="275"/>
      <c r="AS44" s="275"/>
      <c r="AT44" s="275"/>
      <c r="AU44" s="276"/>
      <c r="AZ44" s="1" t="str">
        <f>LEFT(BA43,4)</f>
        <v>0301</v>
      </c>
    </row>
    <row r="45" spans="2:55" ht="13.5" thickBot="1">
      <c r="B45" s="292"/>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4"/>
      <c r="AM45" s="292"/>
      <c r="AN45" s="293"/>
      <c r="AO45" s="293"/>
      <c r="AP45" s="293"/>
      <c r="AQ45" s="293"/>
      <c r="AR45" s="293"/>
      <c r="AS45" s="293"/>
      <c r="AT45" s="293"/>
      <c r="AU45" s="294"/>
      <c r="AZ45" s="1" t="str">
        <f>LEFT(AZ44,1)</f>
        <v>0</v>
      </c>
      <c r="BA45" s="1" t="str">
        <f>RIGHT(LEFT(AZ44,2),1)</f>
        <v>3</v>
      </c>
      <c r="BB45" s="1" t="str">
        <f>LEFT(RIGHT(AZ44,2),1)</f>
        <v>0</v>
      </c>
      <c r="BC45" s="1" t="str">
        <f>RIGHT(RIGHT(AZ44,2),1)</f>
        <v>1</v>
      </c>
    </row>
    <row r="46" spans="49:57" s="307" customFormat="1" ht="27" customHeight="1">
      <c r="AW46" s="364"/>
      <c r="AZ46" s="262"/>
      <c r="BA46" s="262">
        <v>2406010010003010</v>
      </c>
      <c r="BB46" s="262"/>
      <c r="BC46" s="262"/>
      <c r="BD46" s="262"/>
      <c r="BE46" s="262"/>
    </row>
    <row r="47" ht="12.75" hidden="1"/>
    <row r="48" ht="12.75" hidden="1">
      <c r="BA48" s="1" t="str">
        <f>LEFT(BA46,9)</f>
        <v>240601001</v>
      </c>
    </row>
    <row r="49" ht="12.75" hidden="1"/>
    <row r="50" spans="52:54" ht="12.75" hidden="1">
      <c r="AZ50" s="1" t="str">
        <f>RIGHT(BA48,3)</f>
        <v>001</v>
      </c>
      <c r="BA50" s="1" t="str">
        <f>RIGHT(BA48,3)</f>
        <v>001</v>
      </c>
      <c r="BB50" s="1" t="str">
        <f>RIGHT(BA48,3)</f>
        <v>001</v>
      </c>
    </row>
    <row r="51" ht="12.75" hidden="1"/>
    <row r="52" spans="52:54" ht="12.75" hidden="1">
      <c r="AZ52" s="1" t="str">
        <f>LEFT(AZ50,1)</f>
        <v>0</v>
      </c>
      <c r="BA52" s="1" t="str">
        <f>LEFT(RIGHT(BA50,2),1)</f>
        <v>0</v>
      </c>
      <c r="BB52" s="1">
        <f>RIGHT(BB50,1)*1</f>
        <v>1</v>
      </c>
    </row>
    <row r="53" ht="12.75" hidden="1">
      <c r="BC53" s="61" t="s">
        <v>158</v>
      </c>
    </row>
    <row r="54" ht="12.75" hidden="1">
      <c r="BA54" s="1" t="str">
        <f>LEFT(BA48,6)</f>
        <v>240601</v>
      </c>
    </row>
    <row r="55" ht="12.75" hidden="1"/>
    <row r="56" spans="52:53" ht="12.75" hidden="1">
      <c r="AZ56" s="1" t="str">
        <f>LEFT(RIGHT(BA54,2),1)</f>
        <v>0</v>
      </c>
      <c r="BA56" s="1" t="str">
        <f>RIGHT(RIGHT(BA54,2),1)</f>
        <v>1</v>
      </c>
    </row>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spans="52:53" ht="12.75" hidden="1">
      <c r="AZ94" s="29"/>
      <c r="BA94" s="29"/>
    </row>
    <row r="95" spans="52:53" ht="12.75" hidden="1">
      <c r="AZ95" s="29"/>
      <c r="BA95" s="29"/>
    </row>
    <row r="96" spans="52:53" ht="12.75" hidden="1">
      <c r="AZ96" s="29"/>
      <c r="BA96" s="29"/>
    </row>
    <row r="97" spans="52:53" ht="12.75" hidden="1">
      <c r="AZ97" s="29"/>
      <c r="BA97" s="29"/>
    </row>
    <row r="98" spans="52:53" ht="12.75" hidden="1">
      <c r="AZ98" s="29"/>
      <c r="BA98" s="29"/>
    </row>
    <row r="99" spans="52:53" ht="12.75" hidden="1">
      <c r="AZ99" s="29"/>
      <c r="BA99" s="29"/>
    </row>
    <row r="100" spans="52:53" ht="12.75" hidden="1">
      <c r="AZ100" s="29"/>
      <c r="BA100" s="29"/>
    </row>
    <row r="101" spans="52:53" ht="12.75" hidden="1">
      <c r="AZ101" s="29"/>
      <c r="BA101" s="29"/>
    </row>
    <row r="102" spans="52:53" ht="12.75" hidden="1">
      <c r="AZ102" s="29"/>
      <c r="BA102" s="29"/>
    </row>
    <row r="103" spans="52:53" ht="12.75" hidden="1">
      <c r="AZ103" s="29"/>
      <c r="BA103" s="29"/>
    </row>
    <row r="104" spans="2:53" ht="12.75" hidden="1">
      <c r="B104" s="194">
        <f>Y25</f>
        <v>11487</v>
      </c>
      <c r="C104" s="62">
        <f>(B104-B107)/1000</f>
        <v>11</v>
      </c>
      <c r="O104" s="62">
        <v>1</v>
      </c>
      <c r="P104" s="62" t="s">
        <v>38</v>
      </c>
      <c r="R104" s="29"/>
      <c r="AZ104" s="29"/>
      <c r="BA104" s="29"/>
    </row>
    <row r="105" spans="2:53" ht="12.75" hidden="1">
      <c r="B105" s="62">
        <f>(C104-B106)/100</f>
        <v>0</v>
      </c>
      <c r="C105" s="62">
        <f>B105</f>
        <v>0</v>
      </c>
      <c r="D105" s="62">
        <f>RIGHT(C105,2)*1</f>
        <v>0</v>
      </c>
      <c r="E105" s="62">
        <f>(C105-D105)/100</f>
        <v>0</v>
      </c>
      <c r="F105" s="62">
        <f>(D105-RIGHT(D105,1)*1)/10</f>
        <v>0</v>
      </c>
      <c r="G105" s="62">
        <f>RIGHT(C105,1)*1</f>
        <v>0</v>
      </c>
      <c r="H105" s="62" t="str">
        <f>IF(F105=O105,Q105,IF(F105=O106,Q106,IF(F105=O107,Q107,IF(F105=O108,Q108,IF(F105=O109,Q109,IF(F105=O110,Q110,IF(F105=O111,Q111,IF(F105=O112,Q112," "))))))))</f>
        <v> </v>
      </c>
      <c r="I105" s="62" t="str">
        <f>IF(F105=1," ",IF(G105=O104,P104,IF(G105=O105,P105,IF(G105=O106,P106,IF(G105=O107,P107,IF(G105=O108,P108,IF(G105=O109,P109," ")))))))</f>
        <v> </v>
      </c>
      <c r="J105" s="62" t="str">
        <f>IF(F105=1," ",IF(G105=O110,P110,IF(G105=O111,P111,IF(G105=O112,P112," "))))</f>
        <v> </v>
      </c>
      <c r="K105" s="62" t="str">
        <f>IF(F105=0," ",IF(F105&gt;1," ",IF(G105=O105,P115,IF(G105=O106,P116,IF(G105=O107,P117,IF(G105=O108,P118,IF(G105=O109,P119,IF(G105=O110,P120," "))))))))</f>
        <v> </v>
      </c>
      <c r="L105" s="62" t="str">
        <f>IF(F105=0," ",IF(F105&gt;1," ",IF(G105=O111,P121,IF(G105=O112,P122,IF(G105=O104,P114,IF(G105=0,P113," "))))))</f>
        <v> </v>
      </c>
      <c r="M105" s="62" t="str">
        <f>IF(F105=0," ","lakh")</f>
        <v> </v>
      </c>
      <c r="N105" s="62" t="str">
        <f>IF(G105=0," ",IF(F105&gt;0," ","lakh"))</f>
        <v> </v>
      </c>
      <c r="O105" s="62">
        <v>2</v>
      </c>
      <c r="P105" s="62" t="s">
        <v>39</v>
      </c>
      <c r="Q105" s="62" t="s">
        <v>40</v>
      </c>
      <c r="R105" s="29"/>
      <c r="AZ105" s="29"/>
      <c r="BA105" s="29"/>
    </row>
    <row r="106" spans="2:53" ht="12.75" hidden="1">
      <c r="B106" s="62">
        <f>RIGHT(C104,2)*1</f>
        <v>11</v>
      </c>
      <c r="C106" s="62">
        <f>B106</f>
        <v>11</v>
      </c>
      <c r="D106" s="62">
        <f>RIGHT(C106,2)*1</f>
        <v>11</v>
      </c>
      <c r="E106" s="62">
        <f>(C106-D106)/100</f>
        <v>0</v>
      </c>
      <c r="F106" s="62">
        <f>(D106-RIGHT(D106,1)*1)/10</f>
        <v>1</v>
      </c>
      <c r="G106" s="62">
        <f>RIGHT(C106,1)*1</f>
        <v>1</v>
      </c>
      <c r="H106" s="62" t="str">
        <f>IF(F106=O105,Q105,IF(F106=O106,Q106,IF(F106=O107,Q107,IF(F106=O108,Q108,IF(F106=O109,Q109,IF(F106=O110,Q110,IF(F106=O111,Q111,IF(F106=O112,Q112," "))))))))</f>
        <v> </v>
      </c>
      <c r="I106" s="62" t="str">
        <f>IF(F106=1," ",IF(G106=O104,P104,IF(G106=O105,P105,IF(G106=O106,P106,IF(G106=O107,P107,IF(G106=O108,P108,IF(G106=O109,P109," ")))))))</f>
        <v> </v>
      </c>
      <c r="J106" s="62" t="str">
        <f>IF(F106=1," ",IF(G106=O110,P110,IF(G106=O111,P111,IF(G106=O112,P112," "))))</f>
        <v> </v>
      </c>
      <c r="K106" s="62" t="str">
        <f>IF(F106=0," ",IF(F106&gt;1," ",IF(G106=O105,P115,IF(G106=O106,P116,IF(G106=O107,P117,IF(G106=O108,P118,IF(G106=O109,P119,IF(G106=O110,P120," "))))))))</f>
        <v> </v>
      </c>
      <c r="L106" s="62" t="str">
        <f>IF(F106=0," ",IF(F106&gt;1," ",IF(G106=O111,P121,IF(G106=O112,P122,IF(G106=O104,P114,IF(G106=0,P113," "))))))</f>
        <v>Eleven</v>
      </c>
      <c r="M106" s="62" t="str">
        <f>IF(F106=0," ","thousand")</f>
        <v>thousand</v>
      </c>
      <c r="N106" s="62" t="str">
        <f>IF(G106=0," ",IF(F106&gt;0," ","thousand"))</f>
        <v> </v>
      </c>
      <c r="O106" s="62">
        <v>3</v>
      </c>
      <c r="P106" s="62" t="s">
        <v>41</v>
      </c>
      <c r="Q106" s="62" t="s">
        <v>42</v>
      </c>
      <c r="R106" s="29"/>
      <c r="AZ106" s="29"/>
      <c r="BA106" s="29"/>
    </row>
    <row r="107" spans="2:53" ht="12.75" hidden="1">
      <c r="B107" s="62">
        <f>RIGHT(B104,3)*1</f>
        <v>487</v>
      </c>
      <c r="C107" s="62">
        <f>B107</f>
        <v>487</v>
      </c>
      <c r="D107" s="62">
        <f>ROUND((C107-E108)/100,0)</f>
        <v>4</v>
      </c>
      <c r="I107" s="62" t="str">
        <f>IF(D107=0," ",IF(D107=O104,P104,IF(D107=O105,P105,IF(D107=O106,P106,IF(D107=O107,P107,IF(D107=O108,P108,IF(D107=O109,P109," ")))))))</f>
        <v>Four</v>
      </c>
      <c r="J107" s="62" t="str">
        <f>IF(D107=0," ",IF(D107=O110,P110,IF(D107=O111,P111,IF(D107=O112,P112," "))))</f>
        <v> </v>
      </c>
      <c r="M107" s="62" t="str">
        <f>IF(D107=0," ","hundred")</f>
        <v>hundred</v>
      </c>
      <c r="O107" s="62">
        <v>4</v>
      </c>
      <c r="P107" s="62" t="s">
        <v>43</v>
      </c>
      <c r="Q107" s="62" t="s">
        <v>44</v>
      </c>
      <c r="R107" s="29"/>
      <c r="AZ107" s="29"/>
      <c r="BA107" s="29"/>
    </row>
    <row r="108" spans="5:53" ht="12.75" hidden="1">
      <c r="E108" s="62">
        <f>RIGHT(C107,2)*1</f>
        <v>87</v>
      </c>
      <c r="F108" s="62">
        <f>(E108-RIGHT(E108,1)*1)/10</f>
        <v>8</v>
      </c>
      <c r="G108" s="62">
        <f>RIGHT(C107,1)*1</f>
        <v>7</v>
      </c>
      <c r="H108" s="62" t="str">
        <f>IF(F108=O105,Q105,IF(F108=O106,Q106,IF(F108=O107,Q107,IF(F108=O108,Q108,IF(F108=O109,Q109,IF(F108=O110,Q110,IF(F108=O111,Q111,IF(F108=O112,Q112," "))))))))</f>
        <v>Eighty </v>
      </c>
      <c r="I108" s="62" t="str">
        <f>IF(F108=1," ",IF(G108=O104,P104,IF(G108=O105,P105,IF(G108=O106,P106,IF(G108=O107,P107,IF(G108=O108,P108,IF(G108=O109,P109," ")))))))</f>
        <v> </v>
      </c>
      <c r="J108" s="62" t="str">
        <f>IF(F108=1," ",IF(G108=O110,P110,IF(G108=O111,P111,IF(G108=O112,P112," "))))</f>
        <v>Seven</v>
      </c>
      <c r="K108" s="62" t="str">
        <f>IF(F108=0," ",IF(F108&gt;1," ",IF(G108=O105,P115,IF(G108=O106,P116,IF(G108=O107,P117,IF(G108=O108,P118,IF(G108=O109,P119,IF(G108=O110,P120," "))))))))</f>
        <v> </v>
      </c>
      <c r="L108" s="62" t="str">
        <f>IF(F108=0," ",IF(F108&gt;1," ",IF(G108=O111,P121,IF(G108=O112,P122,IF(G108=O104,P114,IF(G108=0,P113," "))))))</f>
        <v> </v>
      </c>
      <c r="O108" s="62">
        <v>5</v>
      </c>
      <c r="P108" s="62" t="s">
        <v>45</v>
      </c>
      <c r="Q108" s="62" t="s">
        <v>46</v>
      </c>
      <c r="R108" s="29"/>
      <c r="AZ108" s="29"/>
      <c r="BA108" s="29"/>
    </row>
    <row r="109" spans="6:53" ht="12.75" hidden="1">
      <c r="F109" s="62">
        <f>F108</f>
        <v>8</v>
      </c>
      <c r="G109" s="62">
        <f>G108</f>
        <v>7</v>
      </c>
      <c r="O109" s="62">
        <v>6</v>
      </c>
      <c r="P109" s="62" t="s">
        <v>47</v>
      </c>
      <c r="Q109" s="62" t="s">
        <v>48</v>
      </c>
      <c r="R109" s="29"/>
      <c r="AZ109" s="29"/>
      <c r="BA109" s="29"/>
    </row>
    <row r="110" spans="15:53" ht="12.75" hidden="1">
      <c r="O110" s="62">
        <v>7</v>
      </c>
      <c r="P110" s="62" t="s">
        <v>49</v>
      </c>
      <c r="Q110" s="62" t="s">
        <v>50</v>
      </c>
      <c r="R110" s="29"/>
      <c r="AZ110" s="29"/>
      <c r="BA110" s="29"/>
    </row>
    <row r="111" spans="15:53" ht="12.75" hidden="1">
      <c r="O111" s="62">
        <v>8</v>
      </c>
      <c r="P111" s="62" t="s">
        <v>51</v>
      </c>
      <c r="Q111" s="62" t="s">
        <v>52</v>
      </c>
      <c r="R111" s="29"/>
      <c r="AZ111" s="29"/>
      <c r="BA111" s="29"/>
    </row>
    <row r="112" spans="2:53" ht="12.75" hidden="1">
      <c r="B112" s="62">
        <f>TRIM(H105&amp;" "&amp;I105&amp;" "&amp;J105&amp;" "&amp;K105&amp;" "&amp;L105&amp;" "&amp;M105&amp;" "&amp;N105)</f>
      </c>
      <c r="O112" s="62">
        <v>9</v>
      </c>
      <c r="P112" s="62" t="s">
        <v>53</v>
      </c>
      <c r="Q112" s="62" t="s">
        <v>54</v>
      </c>
      <c r="R112" s="29"/>
      <c r="AZ112" s="29"/>
      <c r="BA112" s="29"/>
    </row>
    <row r="113" spans="2:53" ht="12.75" hidden="1">
      <c r="B113" s="62" t="str">
        <f>TRIM(H106&amp;" "&amp;I106&amp;" "&amp;J106&amp;" "&amp;K106&amp;" "&amp;L106&amp;" "&amp;M106&amp;" "&amp;N106)</f>
        <v>Eleven thousand</v>
      </c>
      <c r="O113" s="62">
        <v>10</v>
      </c>
      <c r="P113" s="62" t="s">
        <v>55</v>
      </c>
      <c r="R113" s="29"/>
      <c r="AZ113" s="29"/>
      <c r="BA113" s="29"/>
    </row>
    <row r="114" spans="2:53" ht="12.75" hidden="1">
      <c r="B114" s="62" t="str">
        <f>TRIM(H107&amp;" "&amp;I107&amp;" "&amp;J107&amp;" "&amp;K107&amp;" "&amp;L107&amp;" "&amp;M107&amp;" "&amp;N107)</f>
        <v>Four hundred</v>
      </c>
      <c r="O114" s="62">
        <v>11</v>
      </c>
      <c r="P114" s="62" t="s">
        <v>56</v>
      </c>
      <c r="R114" s="29"/>
      <c r="AZ114" s="29"/>
      <c r="BA114" s="29"/>
    </row>
    <row r="115" spans="2:53" ht="12.75" hidden="1">
      <c r="B115" s="62" t="str">
        <f>TRIM(H108&amp;" "&amp;I108&amp;" "&amp;J108&amp;" "&amp;K108&amp;" "&amp;L108)</f>
        <v>Eighty Seven</v>
      </c>
      <c r="O115" s="62">
        <v>12</v>
      </c>
      <c r="P115" s="62" t="s">
        <v>57</v>
      </c>
      <c r="R115" s="29"/>
      <c r="AZ115" s="29"/>
      <c r="BA115" s="29"/>
    </row>
    <row r="116" spans="2:53" ht="12.75" hidden="1">
      <c r="B116" s="62" t="str">
        <f>IF(B104&gt;0,TRIM(B112&amp;" "&amp;B113&amp;" "&amp;B114&amp;" "&amp;B115)&amp;" only","Zero only")</f>
        <v>Eleven thousand Four hundred Eighty Seven only</v>
      </c>
      <c r="O116" s="62">
        <v>13</v>
      </c>
      <c r="P116" s="62" t="s">
        <v>58</v>
      </c>
      <c r="R116" s="29"/>
      <c r="AZ116" s="29"/>
      <c r="BA116" s="29"/>
    </row>
    <row r="117" spans="15:53" ht="12.75" hidden="1">
      <c r="O117" s="62">
        <v>14</v>
      </c>
      <c r="P117" s="62" t="s">
        <v>59</v>
      </c>
      <c r="R117" s="29"/>
      <c r="AZ117" s="29"/>
      <c r="BA117" s="29"/>
    </row>
    <row r="118" spans="15:53" ht="12.75" hidden="1">
      <c r="O118" s="62">
        <v>15</v>
      </c>
      <c r="P118" s="62" t="s">
        <v>60</v>
      </c>
      <c r="R118" s="29"/>
      <c r="AZ118" s="29"/>
      <c r="BA118" s="29"/>
    </row>
    <row r="119" spans="15:53" ht="12.75" hidden="1">
      <c r="O119" s="62">
        <v>16</v>
      </c>
      <c r="P119" s="62" t="s">
        <v>61</v>
      </c>
      <c r="R119" s="29"/>
      <c r="AZ119" s="29"/>
      <c r="BA119" s="29"/>
    </row>
    <row r="120" spans="15:53" ht="12.75" hidden="1">
      <c r="O120" s="62">
        <v>17</v>
      </c>
      <c r="P120" s="62" t="s">
        <v>62</v>
      </c>
      <c r="R120" s="29"/>
      <c r="AZ120" s="29"/>
      <c r="BA120" s="29"/>
    </row>
    <row r="121" spans="15:53" ht="12.75" hidden="1">
      <c r="O121" s="62">
        <v>18</v>
      </c>
      <c r="P121" s="62" t="s">
        <v>63</v>
      </c>
      <c r="R121" s="29"/>
      <c r="AZ121" s="29"/>
      <c r="BA121" s="29"/>
    </row>
    <row r="122" spans="15:53" ht="12.75" hidden="1">
      <c r="O122" s="62">
        <v>19</v>
      </c>
      <c r="P122" s="62" t="s">
        <v>64</v>
      </c>
      <c r="R122" s="29"/>
      <c r="AZ122" s="29"/>
      <c r="BA122" s="29"/>
    </row>
    <row r="123" spans="15:53" ht="12.75" hidden="1">
      <c r="O123" s="62">
        <v>20</v>
      </c>
      <c r="P123" s="62" t="s">
        <v>40</v>
      </c>
      <c r="R123" s="29"/>
      <c r="AZ123" s="29"/>
      <c r="BA123" s="29"/>
    </row>
    <row r="124" spans="15:53" ht="12.75" hidden="1">
      <c r="O124" s="62">
        <v>30</v>
      </c>
      <c r="P124" s="62" t="s">
        <v>42</v>
      </c>
      <c r="R124" s="29"/>
      <c r="AZ124" s="29"/>
      <c r="BA124" s="29"/>
    </row>
    <row r="125" spans="15:53" ht="12.75" hidden="1">
      <c r="O125" s="62">
        <v>40</v>
      </c>
      <c r="P125" s="62" t="s">
        <v>44</v>
      </c>
      <c r="R125" s="29"/>
      <c r="AZ125" s="29"/>
      <c r="BA125" s="29"/>
    </row>
    <row r="126" spans="15:53" ht="12.75" hidden="1">
      <c r="O126" s="62">
        <v>50</v>
      </c>
      <c r="P126" s="62" t="s">
        <v>46</v>
      </c>
      <c r="R126" s="29"/>
      <c r="AZ126" s="29"/>
      <c r="BA126" s="29"/>
    </row>
    <row r="127" spans="15:53" ht="12.75" hidden="1">
      <c r="O127" s="62">
        <v>60</v>
      </c>
      <c r="P127" s="62" t="s">
        <v>48</v>
      </c>
      <c r="R127" s="29"/>
      <c r="AZ127" s="29"/>
      <c r="BA127" s="29"/>
    </row>
    <row r="128" spans="15:53" ht="12.75" hidden="1">
      <c r="O128" s="62">
        <v>70</v>
      </c>
      <c r="P128" s="62" t="s">
        <v>50</v>
      </c>
      <c r="R128" s="29"/>
      <c r="AZ128" s="29"/>
      <c r="BA128" s="29"/>
    </row>
    <row r="129" spans="15:53" ht="12.75" hidden="1">
      <c r="O129" s="62">
        <v>80</v>
      </c>
      <c r="P129" s="62" t="s">
        <v>52</v>
      </c>
      <c r="R129" s="29"/>
      <c r="AZ129" s="29"/>
      <c r="BA129" s="29"/>
    </row>
    <row r="130" spans="15:53" ht="12.75" hidden="1">
      <c r="O130" s="62">
        <v>90</v>
      </c>
      <c r="P130" s="62" t="s">
        <v>54</v>
      </c>
      <c r="R130" s="29"/>
      <c r="AZ130" s="29"/>
      <c r="BA130" s="29"/>
    </row>
    <row r="131" spans="52:53" ht="12.75" hidden="1">
      <c r="AZ131" s="29"/>
      <c r="BA131" s="29"/>
    </row>
    <row r="132" spans="52:53" ht="12.75" hidden="1">
      <c r="AZ132" s="29"/>
      <c r="BA132" s="29"/>
    </row>
    <row r="133" spans="52:53" ht="12.75" hidden="1">
      <c r="AZ133" s="29"/>
      <c r="BA133" s="29"/>
    </row>
    <row r="134" spans="52:53" ht="12.75" hidden="1">
      <c r="AZ134" s="29"/>
      <c r="BA134" s="29"/>
    </row>
    <row r="135" spans="52:53" ht="12.75" hidden="1">
      <c r="AZ135" s="29"/>
      <c r="BA135" s="29"/>
    </row>
    <row r="136" spans="52:53" ht="12.75" hidden="1">
      <c r="AZ136" s="29"/>
      <c r="BA136" s="29"/>
    </row>
    <row r="137" spans="52:53" ht="12.75" hidden="1">
      <c r="AZ137" s="29"/>
      <c r="BA137" s="29"/>
    </row>
    <row r="138" spans="52:53" ht="12.75" hidden="1">
      <c r="AZ138" s="29"/>
      <c r="BA138" s="29"/>
    </row>
    <row r="139" spans="52:53" ht="12.75" hidden="1">
      <c r="AZ139" s="29"/>
      <c r="BA139" s="29"/>
    </row>
    <row r="140" spans="52:53" ht="12.75" hidden="1">
      <c r="AZ140" s="29"/>
      <c r="BA140" s="29"/>
    </row>
    <row r="141" spans="52:53" ht="12.75" hidden="1">
      <c r="AZ141" s="29"/>
      <c r="BA141" s="29"/>
    </row>
    <row r="142" spans="52:53" ht="12.75" hidden="1">
      <c r="AZ142" s="29"/>
      <c r="BA142" s="29"/>
    </row>
    <row r="143" ht="12.75" hidden="1"/>
  </sheetData>
  <sheetProtection password="D590" sheet="1" objects="1" scenarios="1" selectLockedCells="1" selectUnlockedCells="1"/>
  <mergeCells count="51">
    <mergeCell ref="AT8:AU8"/>
    <mergeCell ref="C8:I8"/>
    <mergeCell ref="S10:AG10"/>
    <mergeCell ref="M10:R10"/>
    <mergeCell ref="AR8:AS8"/>
    <mergeCell ref="AM2:AU2"/>
    <mergeCell ref="B2:AG2"/>
    <mergeCell ref="AM3:AT3"/>
    <mergeCell ref="AM4:AT4"/>
    <mergeCell ref="W5:AG5"/>
    <mergeCell ref="C6:L6"/>
    <mergeCell ref="S6:AD6"/>
    <mergeCell ref="AM16:AP16"/>
    <mergeCell ref="E12:I12"/>
    <mergeCell ref="O12:AG12"/>
    <mergeCell ref="R14:S14"/>
    <mergeCell ref="Z14:AB14"/>
    <mergeCell ref="AD14:AF14"/>
    <mergeCell ref="AO18:AP18"/>
    <mergeCell ref="G20:I20"/>
    <mergeCell ref="M20:R20"/>
    <mergeCell ref="W20:AD20"/>
    <mergeCell ref="AM20:AU22"/>
    <mergeCell ref="U8:AD8"/>
    <mergeCell ref="E16:K16"/>
    <mergeCell ref="M16:O16"/>
    <mergeCell ref="R16:W16"/>
    <mergeCell ref="Z16:AE16"/>
    <mergeCell ref="Y22:Z23"/>
    <mergeCell ref="AB22:AD23"/>
    <mergeCell ref="AF22:AG23"/>
    <mergeCell ref="Q18:R18"/>
    <mergeCell ref="Y18:Z18"/>
    <mergeCell ref="AB18:AD18"/>
    <mergeCell ref="AO23:AS23"/>
    <mergeCell ref="AM24:AQ24"/>
    <mergeCell ref="C25:G25"/>
    <mergeCell ref="I25:M25"/>
    <mergeCell ref="O25:S25"/>
    <mergeCell ref="U25:W25"/>
    <mergeCell ref="Y25:AG25"/>
    <mergeCell ref="C22:C23"/>
    <mergeCell ref="K22:K23"/>
    <mergeCell ref="W22:W23"/>
    <mergeCell ref="B27:AG28"/>
    <mergeCell ref="U29:AG29"/>
    <mergeCell ref="AM32:AN32"/>
    <mergeCell ref="I38:O38"/>
    <mergeCell ref="W38:AG38"/>
    <mergeCell ref="G41:R41"/>
    <mergeCell ref="E29:M29"/>
  </mergeCells>
  <printOptions horizontalCentered="1"/>
  <pageMargins left="0.26" right="0.24" top="0.59" bottom="0.52" header="0.5" footer="0.44"/>
  <pageSetup fitToHeight="1" fitToWidth="1" horizontalDpi="600" verticalDpi="600" orientation="landscape" paperSize="9" scale="88" r:id="rId2"/>
  <drawing r:id="rId1"/>
</worksheet>
</file>

<file path=xl/worksheets/sheet9.xml><?xml version="1.0" encoding="utf-8"?>
<worksheet xmlns="http://schemas.openxmlformats.org/spreadsheetml/2006/main" xmlns:r="http://schemas.openxmlformats.org/officeDocument/2006/relationships">
  <sheetPr codeName="Sheet8"/>
  <dimension ref="B1:BI324"/>
  <sheetViews>
    <sheetView showGridLines="0" showRowColHeaders="0" zoomScaleSheetLayoutView="100" zoomScalePageLayoutView="0" workbookViewId="0" topLeftCell="A1">
      <selection activeCell="F5" sqref="F5"/>
    </sheetView>
  </sheetViews>
  <sheetFormatPr defaultColWidth="0" defaultRowHeight="15" zeroHeight="1"/>
  <cols>
    <col min="1" max="1" width="4.57421875" style="262" customWidth="1"/>
    <col min="2" max="2" width="3.7109375" style="1" customWidth="1"/>
    <col min="3" max="3" width="4.140625" style="1" customWidth="1"/>
    <col min="4" max="4" width="4.00390625" style="1" customWidth="1"/>
    <col min="5" max="5" width="12.140625" style="1" customWidth="1"/>
    <col min="6" max="7" width="3.57421875" style="1" customWidth="1"/>
    <col min="8" max="8" width="1.421875" style="1" customWidth="1"/>
    <col min="9" max="12" width="3.7109375" style="1" customWidth="1"/>
    <col min="13" max="13" width="3.421875" style="1" customWidth="1"/>
    <col min="14" max="14" width="1.28515625" style="5" customWidth="1"/>
    <col min="15" max="15" width="16.421875" style="1" customWidth="1"/>
    <col min="16" max="19" width="4.00390625" style="1" customWidth="1"/>
    <col min="20" max="20" width="13.00390625" style="1" customWidth="1"/>
    <col min="21" max="21" width="1.1484375" style="1" customWidth="1"/>
    <col min="22" max="22" width="4.421875" style="1" customWidth="1"/>
    <col min="23" max="23" width="14.8515625" style="366" customWidth="1"/>
    <col min="24" max="24" width="4.140625" style="1" hidden="1" customWidth="1"/>
    <col min="25" max="25" width="9.140625" style="1" hidden="1" customWidth="1"/>
    <col min="26" max="26" width="22.8515625" style="1" hidden="1" customWidth="1"/>
    <col min="27" max="34" width="9.140625" style="1" hidden="1" customWidth="1"/>
    <col min="35" max="35" width="12.140625" style="1" hidden="1" customWidth="1"/>
    <col min="36" max="254" width="9.140625" style="1" hidden="1" customWidth="1"/>
    <col min="255" max="255" width="4.140625" style="1" hidden="1" customWidth="1"/>
    <col min="256" max="16384" width="4.00390625" style="1" hidden="1" customWidth="1"/>
  </cols>
  <sheetData>
    <row r="1" spans="2:22" ht="21.75" customHeight="1" thickBot="1">
      <c r="B1" s="262"/>
      <c r="C1" s="262"/>
      <c r="D1" s="262"/>
      <c r="E1" s="262"/>
      <c r="F1" s="262"/>
      <c r="G1" s="262"/>
      <c r="H1" s="262"/>
      <c r="I1" s="262"/>
      <c r="J1" s="262"/>
      <c r="K1" s="262"/>
      <c r="L1" s="262"/>
      <c r="M1" s="262"/>
      <c r="N1" s="263"/>
      <c r="O1" s="262"/>
      <c r="P1" s="262"/>
      <c r="Q1" s="262"/>
      <c r="R1" s="262"/>
      <c r="S1" s="262"/>
      <c r="T1" s="262"/>
      <c r="U1" s="262"/>
      <c r="V1" s="262"/>
    </row>
    <row r="2" spans="2:35" ht="14.25" customHeight="1">
      <c r="B2" s="232"/>
      <c r="C2" s="233"/>
      <c r="D2" s="233"/>
      <c r="E2" s="233"/>
      <c r="F2" s="233"/>
      <c r="G2" s="233"/>
      <c r="H2" s="233"/>
      <c r="I2" s="233"/>
      <c r="J2" s="233"/>
      <c r="K2" s="233" t="str">
        <f>"Payble at  "&amp;Data!C20</f>
        <v>Payble at  DTO, Kakinada</v>
      </c>
      <c r="L2" s="233"/>
      <c r="M2" s="233"/>
      <c r="N2" s="233"/>
      <c r="O2" s="233"/>
      <c r="P2" s="233"/>
      <c r="Q2" s="233"/>
      <c r="R2" s="233"/>
      <c r="S2" s="234"/>
      <c r="T2" s="234"/>
      <c r="U2" s="235"/>
      <c r="V2" s="262"/>
      <c r="AI2" s="1" t="s">
        <v>19</v>
      </c>
    </row>
    <row r="3" spans="2:22" ht="24.75" customHeight="1">
      <c r="B3" s="236"/>
      <c r="C3" s="475" t="s">
        <v>102</v>
      </c>
      <c r="D3" s="475"/>
      <c r="E3" s="475"/>
      <c r="F3" s="475"/>
      <c r="G3" s="475"/>
      <c r="H3" s="475"/>
      <c r="I3" s="475"/>
      <c r="J3" s="475"/>
      <c r="K3" s="475"/>
      <c r="L3" s="475"/>
      <c r="M3" s="475"/>
      <c r="N3" s="475"/>
      <c r="O3" s="475"/>
      <c r="P3" s="475"/>
      <c r="Q3" s="475"/>
      <c r="R3" s="475"/>
      <c r="S3" s="475"/>
      <c r="T3" s="475"/>
      <c r="U3" s="237"/>
      <c r="V3" s="262"/>
    </row>
    <row r="4" spans="2:22" ht="23.25" customHeight="1">
      <c r="B4" s="236"/>
      <c r="C4" s="476" t="s">
        <v>103</v>
      </c>
      <c r="D4" s="476"/>
      <c r="E4" s="476"/>
      <c r="F4" s="476"/>
      <c r="G4" s="476"/>
      <c r="H4" s="476"/>
      <c r="I4" s="476"/>
      <c r="J4" s="476"/>
      <c r="K4" s="476"/>
      <c r="L4" s="476"/>
      <c r="M4" s="476"/>
      <c r="N4" s="476"/>
      <c r="O4" s="476"/>
      <c r="P4" s="476"/>
      <c r="Q4" s="476"/>
      <c r="R4" s="476"/>
      <c r="S4" s="476"/>
      <c r="T4" s="476"/>
      <c r="U4" s="237"/>
      <c r="V4" s="262"/>
    </row>
    <row r="5" spans="2:22" ht="21.75" customHeight="1">
      <c r="B5" s="236"/>
      <c r="C5" s="14" t="s">
        <v>65</v>
      </c>
      <c r="D5" s="14"/>
      <c r="E5" s="57"/>
      <c r="F5" s="154" t="str">
        <f>IF(Data!F55&gt;9,LEFT(Data!F55,1),0)</f>
        <v>1</v>
      </c>
      <c r="G5" s="154" t="str">
        <f>RIGHT(Data!F55,1)</f>
        <v>2</v>
      </c>
      <c r="H5" s="155"/>
      <c r="I5" s="156" t="str">
        <f>LEFT(Data!G55,1)</f>
        <v>2</v>
      </c>
      <c r="J5" s="157" t="str">
        <f>RIGHT(LEFT(Data!G55,2),1)</f>
        <v>0</v>
      </c>
      <c r="K5" s="157" t="str">
        <f>LEFT(RIGHT(Data!G55,2),1)</f>
        <v>1</v>
      </c>
      <c r="L5" s="157" t="str">
        <f>RIGHT(Data!G55,1)</f>
        <v>3</v>
      </c>
      <c r="M5" s="57"/>
      <c r="N5" s="10"/>
      <c r="O5" s="238" t="s">
        <v>66</v>
      </c>
      <c r="P5" s="477" t="s">
        <v>244</v>
      </c>
      <c r="Q5" s="477"/>
      <c r="R5" s="477"/>
      <c r="S5" s="477"/>
      <c r="T5" s="477"/>
      <c r="U5" s="237"/>
      <c r="V5" s="262"/>
    </row>
    <row r="6" spans="2:22" ht="5.25" customHeight="1">
      <c r="B6" s="236"/>
      <c r="C6" s="14"/>
      <c r="D6" s="14"/>
      <c r="E6" s="57"/>
      <c r="F6" s="14"/>
      <c r="G6" s="14"/>
      <c r="H6" s="2"/>
      <c r="I6" s="30"/>
      <c r="J6" s="57"/>
      <c r="K6" s="57"/>
      <c r="L6" s="57"/>
      <c r="M6" s="57"/>
      <c r="N6" s="10"/>
      <c r="O6" s="57"/>
      <c r="P6" s="33"/>
      <c r="Q6" s="33"/>
      <c r="R6" s="33"/>
      <c r="S6" s="14"/>
      <c r="T6" s="14"/>
      <c r="U6" s="237"/>
      <c r="V6" s="262"/>
    </row>
    <row r="7" spans="2:22" ht="17.25" customHeight="1">
      <c r="B7" s="236"/>
      <c r="C7" s="14"/>
      <c r="D7" s="14"/>
      <c r="E7" s="14"/>
      <c r="F7" s="14"/>
      <c r="G7" s="14"/>
      <c r="H7" s="14"/>
      <c r="I7" s="14"/>
      <c r="J7" s="30"/>
      <c r="K7" s="30"/>
      <c r="L7" s="30"/>
      <c r="M7" s="30"/>
      <c r="N7" s="239"/>
      <c r="O7" s="40"/>
      <c r="P7" s="39"/>
      <c r="Q7" s="39"/>
      <c r="R7" s="41" t="s">
        <v>20</v>
      </c>
      <c r="S7" s="15"/>
      <c r="T7" s="15"/>
      <c r="U7" s="240"/>
      <c r="V7" s="262"/>
    </row>
    <row r="8" spans="2:30" ht="8.25" customHeight="1">
      <c r="B8" s="236"/>
      <c r="C8" s="37"/>
      <c r="D8" s="14"/>
      <c r="E8" s="14"/>
      <c r="F8" s="14"/>
      <c r="G8" s="14"/>
      <c r="H8" s="14"/>
      <c r="I8" s="14"/>
      <c r="J8" s="14"/>
      <c r="K8" s="14"/>
      <c r="L8" s="14"/>
      <c r="M8" s="4"/>
      <c r="N8" s="10"/>
      <c r="O8" s="6"/>
      <c r="P8" s="459"/>
      <c r="Q8" s="459"/>
      <c r="R8" s="14"/>
      <c r="S8" s="14"/>
      <c r="T8" s="14"/>
      <c r="U8" s="237"/>
      <c r="V8" s="262"/>
      <c r="AC8" s="8">
        <f>V14</f>
        <v>0</v>
      </c>
      <c r="AD8" s="9">
        <f>X14</f>
        <v>0</v>
      </c>
    </row>
    <row r="9" spans="2:26" ht="24" customHeight="1">
      <c r="B9" s="236"/>
      <c r="C9" s="38" t="s">
        <v>67</v>
      </c>
      <c r="D9" s="43"/>
      <c r="E9" s="478" t="str">
        <f>Data!C19</f>
        <v>East Godavari</v>
      </c>
      <c r="F9" s="478"/>
      <c r="G9" s="478"/>
      <c r="H9" s="478"/>
      <c r="I9" s="478"/>
      <c r="J9" s="478"/>
      <c r="K9" s="478"/>
      <c r="L9" s="478"/>
      <c r="M9" s="478"/>
      <c r="N9" s="10"/>
      <c r="O9" s="6" t="s">
        <v>21</v>
      </c>
      <c r="P9" s="14"/>
      <c r="Q9" s="14"/>
      <c r="R9" s="14"/>
      <c r="S9" s="14"/>
      <c r="T9" s="14"/>
      <c r="U9" s="237"/>
      <c r="V9" s="262"/>
      <c r="Z9" s="212" t="str">
        <f>Data!C26</f>
        <v>03010402001</v>
      </c>
    </row>
    <row r="10" spans="2:25" ht="5.25" customHeight="1">
      <c r="B10" s="236"/>
      <c r="C10" s="37"/>
      <c r="D10" s="241"/>
      <c r="E10" s="241"/>
      <c r="F10" s="242"/>
      <c r="G10" s="11"/>
      <c r="H10" s="11"/>
      <c r="I10" s="11"/>
      <c r="J10" s="11"/>
      <c r="K10" s="11"/>
      <c r="L10" s="11"/>
      <c r="M10" s="11"/>
      <c r="N10" s="10"/>
      <c r="O10" s="6"/>
      <c r="P10" s="10"/>
      <c r="Q10" s="10"/>
      <c r="R10" s="14"/>
      <c r="S10" s="14"/>
      <c r="T10" s="14"/>
      <c r="U10" s="237"/>
      <c r="V10" s="262"/>
      <c r="Y10" s="1" t="str">
        <f>LEFT(Z9,4)</f>
        <v>0301</v>
      </c>
    </row>
    <row r="11" spans="2:31" ht="25.5" customHeight="1">
      <c r="B11" s="236"/>
      <c r="C11" s="43" t="s">
        <v>69</v>
      </c>
      <c r="D11" s="43"/>
      <c r="E11" s="43"/>
      <c r="F11" s="43"/>
      <c r="G11" s="43"/>
      <c r="H11" s="43"/>
      <c r="I11" s="43"/>
      <c r="J11" s="479"/>
      <c r="K11" s="479"/>
      <c r="L11" s="479"/>
      <c r="M11" s="479"/>
      <c r="N11" s="10"/>
      <c r="O11" s="6" t="s">
        <v>23</v>
      </c>
      <c r="P11" s="480"/>
      <c r="Q11" s="481"/>
      <c r="R11" s="481"/>
      <c r="S11" s="481"/>
      <c r="T11" s="482"/>
      <c r="U11" s="237"/>
      <c r="V11" s="262"/>
      <c r="Y11" s="1" t="str">
        <f>LEFT(Y10,1)</f>
        <v>0</v>
      </c>
      <c r="Z11" s="1" t="str">
        <f>RIGHT(LEFT(Y10,2),1)</f>
        <v>3</v>
      </c>
      <c r="AA11" s="1" t="str">
        <f>LEFT(RIGHT(Y10,2),1)</f>
        <v>0</v>
      </c>
      <c r="AB11" s="1" t="str">
        <f>RIGHT(RIGHT(Y10,2),1)</f>
        <v>1</v>
      </c>
      <c r="AE11" s="1" t="str">
        <f>LEFT(Z11,1)</f>
        <v>3</v>
      </c>
    </row>
    <row r="12" spans="2:26" ht="12.75">
      <c r="B12" s="236"/>
      <c r="C12" s="14"/>
      <c r="D12" s="14"/>
      <c r="E12" s="14"/>
      <c r="F12" s="14"/>
      <c r="G12" s="14"/>
      <c r="H12" s="14"/>
      <c r="I12" s="14"/>
      <c r="J12" s="14"/>
      <c r="K12" s="14"/>
      <c r="L12" s="14"/>
      <c r="M12" s="14"/>
      <c r="N12" s="10"/>
      <c r="O12" s="12"/>
      <c r="P12" s="20"/>
      <c r="Q12" s="20"/>
      <c r="R12" s="20"/>
      <c r="S12" s="20"/>
      <c r="T12" s="20"/>
      <c r="U12" s="243"/>
      <c r="V12" s="262"/>
      <c r="Z12" s="1">
        <v>8011001060001000</v>
      </c>
    </row>
    <row r="13" spans="2:22" ht="6" customHeight="1">
      <c r="B13" s="236"/>
      <c r="C13" s="14"/>
      <c r="D13" s="14"/>
      <c r="E13" s="14"/>
      <c r="F13" s="14"/>
      <c r="G13" s="14"/>
      <c r="H13" s="14"/>
      <c r="I13" s="14"/>
      <c r="J13" s="10"/>
      <c r="K13" s="10"/>
      <c r="L13" s="10"/>
      <c r="M13" s="10"/>
      <c r="N13" s="10"/>
      <c r="O13" s="14"/>
      <c r="P13" s="14"/>
      <c r="Q13" s="14"/>
      <c r="R13" s="14"/>
      <c r="S13" s="14"/>
      <c r="T13" s="14"/>
      <c r="U13" s="237"/>
      <c r="V13" s="262"/>
    </row>
    <row r="14" spans="2:26" ht="15" customHeight="1">
      <c r="B14" s="452" t="str">
        <f>"Under Rupees "&amp;Y117</f>
        <v>Under Rupees Four thousand Eight hundred Sixteen only</v>
      </c>
      <c r="C14" s="15"/>
      <c r="D14" s="15"/>
      <c r="E14" s="15"/>
      <c r="F14" s="15"/>
      <c r="G14" s="15"/>
      <c r="H14" s="15"/>
      <c r="I14" s="15"/>
      <c r="J14" s="15"/>
      <c r="K14" s="15"/>
      <c r="L14" s="15"/>
      <c r="M14" s="3"/>
      <c r="N14" s="34"/>
      <c r="O14" s="467" t="s">
        <v>28</v>
      </c>
      <c r="P14" s="467"/>
      <c r="Q14" s="15"/>
      <c r="R14" s="15"/>
      <c r="S14" s="15"/>
      <c r="T14" s="15"/>
      <c r="U14" s="240"/>
      <c r="V14" s="264"/>
      <c r="W14" s="367"/>
      <c r="X14" s="14"/>
      <c r="Z14" s="1" t="str">
        <f>LEFT(Z12,9)</f>
        <v>801100106</v>
      </c>
    </row>
    <row r="15" spans="2:24" ht="25.5" customHeight="1">
      <c r="B15" s="452"/>
      <c r="C15" s="468" t="s">
        <v>22</v>
      </c>
      <c r="D15" s="468"/>
      <c r="E15" s="468"/>
      <c r="F15" s="14"/>
      <c r="G15" s="14"/>
      <c r="H15" s="14"/>
      <c r="I15" s="154" t="str">
        <f>Y58</f>
        <v>0</v>
      </c>
      <c r="J15" s="154" t="str">
        <f>Z58</f>
        <v>3</v>
      </c>
      <c r="K15" s="154" t="str">
        <f>AA58</f>
        <v>0</v>
      </c>
      <c r="L15" s="154" t="str">
        <f>AB58</f>
        <v>1</v>
      </c>
      <c r="M15" s="7"/>
      <c r="N15" s="469"/>
      <c r="O15" s="21" t="s">
        <v>29</v>
      </c>
      <c r="P15" s="157">
        <v>8</v>
      </c>
      <c r="Q15" s="157">
        <v>0</v>
      </c>
      <c r="R15" s="157">
        <v>1</v>
      </c>
      <c r="S15" s="157">
        <v>1</v>
      </c>
      <c r="T15" s="56" t="s">
        <v>74</v>
      </c>
      <c r="U15" s="237"/>
      <c r="V15" s="265"/>
      <c r="W15" s="368"/>
      <c r="X15" s="23"/>
    </row>
    <row r="16" spans="2:27" ht="4.5" customHeight="1">
      <c r="B16" s="452"/>
      <c r="C16" s="14"/>
      <c r="D16" s="14"/>
      <c r="E16" s="14"/>
      <c r="F16" s="11"/>
      <c r="G16" s="11"/>
      <c r="H16" s="11"/>
      <c r="I16" s="11"/>
      <c r="J16" s="11"/>
      <c r="K16" s="11"/>
      <c r="L16" s="11"/>
      <c r="M16" s="18"/>
      <c r="N16" s="469"/>
      <c r="O16" s="16"/>
      <c r="P16" s="11"/>
      <c r="Q16" s="11"/>
      <c r="R16" s="11"/>
      <c r="S16" s="11"/>
      <c r="T16" s="11"/>
      <c r="U16" s="237"/>
      <c r="V16" s="266"/>
      <c r="W16" s="369"/>
      <c r="X16" s="17"/>
      <c r="Y16" s="1" t="str">
        <f>RIGHT(Z14,3)</f>
        <v>106</v>
      </c>
      <c r="Z16" s="1" t="str">
        <f>RIGHT(Z14,3)</f>
        <v>106</v>
      </c>
      <c r="AA16" s="1" t="str">
        <f>RIGHT(Z14,3)</f>
        <v>106</v>
      </c>
    </row>
    <row r="17" spans="2:24" ht="25.5" customHeight="1">
      <c r="B17" s="452"/>
      <c r="C17" s="14" t="s">
        <v>24</v>
      </c>
      <c r="D17" s="14"/>
      <c r="E17" s="14"/>
      <c r="F17" s="462" t="str">
        <f>Data!C26</f>
        <v>03010402001</v>
      </c>
      <c r="G17" s="463"/>
      <c r="H17" s="463"/>
      <c r="I17" s="463"/>
      <c r="J17" s="463"/>
      <c r="K17" s="463"/>
      <c r="L17" s="463"/>
      <c r="M17" s="24"/>
      <c r="N17" s="469"/>
      <c r="O17" s="21" t="s">
        <v>17</v>
      </c>
      <c r="P17" s="157">
        <v>0</v>
      </c>
      <c r="Q17" s="157">
        <v>0</v>
      </c>
      <c r="R17" s="11"/>
      <c r="S17" s="11"/>
      <c r="T17" s="11"/>
      <c r="U17" s="237"/>
      <c r="V17" s="267"/>
      <c r="W17" s="370"/>
      <c r="X17" s="25"/>
    </row>
    <row r="18" spans="2:27" ht="4.5" customHeight="1">
      <c r="B18" s="452"/>
      <c r="C18" s="37"/>
      <c r="D18" s="16"/>
      <c r="E18" s="16"/>
      <c r="F18" s="23"/>
      <c r="G18" s="23"/>
      <c r="H18" s="23"/>
      <c r="I18" s="23"/>
      <c r="J18" s="23"/>
      <c r="K18" s="23"/>
      <c r="L18" s="23"/>
      <c r="M18" s="47"/>
      <c r="N18" s="469"/>
      <c r="O18" s="16"/>
      <c r="P18" s="11"/>
      <c r="Q18" s="11"/>
      <c r="R18" s="11"/>
      <c r="S18" s="11"/>
      <c r="T18" s="11"/>
      <c r="U18" s="237"/>
      <c r="V18" s="266"/>
      <c r="W18" s="369"/>
      <c r="X18" s="17"/>
      <c r="Y18" s="1" t="str">
        <f>LEFT(Y16,1)</f>
        <v>1</v>
      </c>
      <c r="Z18" s="1" t="str">
        <f>LEFT(RIGHT(Z16,2),1)</f>
        <v>0</v>
      </c>
      <c r="AA18" s="1">
        <f>RIGHT(AA16,1)*1</f>
        <v>6</v>
      </c>
    </row>
    <row r="19" spans="2:28" ht="25.5" customHeight="1">
      <c r="B19" s="452"/>
      <c r="C19" s="14" t="s">
        <v>25</v>
      </c>
      <c r="D19" s="14"/>
      <c r="E19" s="14"/>
      <c r="F19" s="470" t="str">
        <f>Data!C22</f>
        <v>District Forest Officer</v>
      </c>
      <c r="G19" s="470"/>
      <c r="H19" s="470"/>
      <c r="I19" s="470"/>
      <c r="J19" s="470"/>
      <c r="K19" s="470"/>
      <c r="L19" s="470"/>
      <c r="M19" s="47"/>
      <c r="N19" s="469"/>
      <c r="O19" s="21" t="s">
        <v>11</v>
      </c>
      <c r="P19" s="157">
        <v>1</v>
      </c>
      <c r="Q19" s="157">
        <v>0</v>
      </c>
      <c r="R19" s="157">
        <v>7</v>
      </c>
      <c r="S19" s="11"/>
      <c r="T19" s="244" t="s">
        <v>228</v>
      </c>
      <c r="U19" s="237"/>
      <c r="V19" s="268"/>
      <c r="W19" s="371"/>
      <c r="X19" s="31"/>
      <c r="AB19" s="61" t="s">
        <v>158</v>
      </c>
    </row>
    <row r="20" spans="2:26" ht="4.5" customHeight="1">
      <c r="B20" s="452"/>
      <c r="C20" s="37"/>
      <c r="D20" s="16"/>
      <c r="E20" s="16"/>
      <c r="F20" s="23"/>
      <c r="G20" s="23"/>
      <c r="H20" s="23"/>
      <c r="I20" s="23"/>
      <c r="J20" s="23"/>
      <c r="K20" s="23"/>
      <c r="L20" s="23"/>
      <c r="M20" s="47"/>
      <c r="N20" s="469"/>
      <c r="O20" s="16"/>
      <c r="P20" s="11"/>
      <c r="Q20" s="11"/>
      <c r="R20" s="11"/>
      <c r="S20" s="11"/>
      <c r="T20" s="11"/>
      <c r="U20" s="237"/>
      <c r="V20" s="268"/>
      <c r="W20" s="371"/>
      <c r="X20" s="31"/>
      <c r="Z20" s="1" t="str">
        <f>LEFT(Z14,6)</f>
        <v>801100</v>
      </c>
    </row>
    <row r="21" spans="2:24" ht="27" customHeight="1">
      <c r="B21" s="452"/>
      <c r="C21" s="14" t="s">
        <v>26</v>
      </c>
      <c r="D21" s="21"/>
      <c r="E21" s="21"/>
      <c r="F21" s="461" t="str">
        <f>Data!C23</f>
        <v>Kakinada Division, Kakinada</v>
      </c>
      <c r="G21" s="461"/>
      <c r="H21" s="461"/>
      <c r="I21" s="461"/>
      <c r="J21" s="461"/>
      <c r="K21" s="461"/>
      <c r="L21" s="461"/>
      <c r="M21" s="24"/>
      <c r="N21" s="49"/>
      <c r="O21" s="16" t="s">
        <v>30</v>
      </c>
      <c r="P21" s="157">
        <v>0</v>
      </c>
      <c r="Q21" s="157">
        <v>0</v>
      </c>
      <c r="R21" s="11"/>
      <c r="S21" s="11"/>
      <c r="T21" s="11"/>
      <c r="U21" s="237"/>
      <c r="V21" s="267"/>
      <c r="W21" s="370"/>
      <c r="X21" s="25"/>
    </row>
    <row r="22" spans="2:26" ht="4.5" customHeight="1">
      <c r="B22" s="452"/>
      <c r="C22" s="37"/>
      <c r="D22" s="16"/>
      <c r="E22" s="16"/>
      <c r="F22" s="23"/>
      <c r="G22" s="23"/>
      <c r="H22" s="23"/>
      <c r="I22" s="23"/>
      <c r="J22" s="23"/>
      <c r="K22" s="23"/>
      <c r="L22" s="23"/>
      <c r="M22" s="47"/>
      <c r="N22" s="49"/>
      <c r="O22" s="14"/>
      <c r="P22" s="11"/>
      <c r="Q22" s="11"/>
      <c r="R22" s="11"/>
      <c r="S22" s="11"/>
      <c r="T22" s="11"/>
      <c r="U22" s="237"/>
      <c r="V22" s="266"/>
      <c r="W22" s="369"/>
      <c r="X22" s="17"/>
      <c r="Y22" s="1" t="str">
        <f>LEFT(RIGHT(Z20,2),1)</f>
        <v>0</v>
      </c>
      <c r="Z22" s="1" t="str">
        <f>RIGHT(RIGHT(Z20,2),1)</f>
        <v>0</v>
      </c>
    </row>
    <row r="23" spans="2:24" ht="25.5" customHeight="1">
      <c r="B23" s="452"/>
      <c r="C23" s="14" t="s">
        <v>27</v>
      </c>
      <c r="D23" s="14"/>
      <c r="E23" s="14"/>
      <c r="F23" s="462" t="str">
        <f>Data!C28</f>
        <v>01425</v>
      </c>
      <c r="G23" s="463"/>
      <c r="H23" s="463"/>
      <c r="I23" s="463"/>
      <c r="J23" s="463"/>
      <c r="K23" s="463"/>
      <c r="L23" s="463"/>
      <c r="M23" s="48"/>
      <c r="N23" s="49"/>
      <c r="O23" s="16" t="s">
        <v>16</v>
      </c>
      <c r="P23" s="157">
        <v>0</v>
      </c>
      <c r="Q23" s="157">
        <v>1</v>
      </c>
      <c r="R23" s="11"/>
      <c r="S23" s="11"/>
      <c r="T23" s="11" t="s">
        <v>227</v>
      </c>
      <c r="U23" s="237"/>
      <c r="V23" s="269"/>
      <c r="W23" s="372"/>
      <c r="X23" s="32"/>
    </row>
    <row r="24" spans="2:24" ht="4.5" customHeight="1">
      <c r="B24" s="452"/>
      <c r="C24" s="14"/>
      <c r="D24" s="14"/>
      <c r="E24" s="42"/>
      <c r="F24" s="11"/>
      <c r="G24" s="11"/>
      <c r="H24" s="11"/>
      <c r="I24" s="11"/>
      <c r="J24" s="11"/>
      <c r="K24" s="11"/>
      <c r="L24" s="11"/>
      <c r="M24" s="18"/>
      <c r="N24" s="49"/>
      <c r="O24" s="14"/>
      <c r="P24" s="11"/>
      <c r="Q24" s="11"/>
      <c r="R24" s="11"/>
      <c r="S24" s="11"/>
      <c r="T24" s="11"/>
      <c r="U24" s="237"/>
      <c r="V24" s="266"/>
      <c r="W24" s="369"/>
      <c r="X24" s="17"/>
    </row>
    <row r="25" spans="2:24" ht="25.5" customHeight="1">
      <c r="B25" s="452"/>
      <c r="C25" s="43" t="s">
        <v>70</v>
      </c>
      <c r="D25" s="43"/>
      <c r="E25" s="44"/>
      <c r="F25" s="483" t="str">
        <f>Data!C29</f>
        <v>SBI, Try. Branch, Kakinada</v>
      </c>
      <c r="G25" s="483"/>
      <c r="H25" s="483"/>
      <c r="I25" s="483"/>
      <c r="J25" s="483"/>
      <c r="K25" s="483"/>
      <c r="L25" s="483"/>
      <c r="M25" s="24"/>
      <c r="N25" s="50"/>
      <c r="O25" s="16" t="s">
        <v>15</v>
      </c>
      <c r="P25" s="157">
        <v>0</v>
      </c>
      <c r="Q25" s="157">
        <v>0</v>
      </c>
      <c r="R25" s="157">
        <v>0</v>
      </c>
      <c r="S25" s="11"/>
      <c r="T25" s="11" t="s">
        <v>7</v>
      </c>
      <c r="U25" s="237"/>
      <c r="V25" s="267"/>
      <c r="W25" s="370"/>
      <c r="X25" s="25"/>
    </row>
    <row r="26" spans="2:24" ht="4.5" customHeight="1">
      <c r="B26" s="452"/>
      <c r="C26" s="37"/>
      <c r="D26" s="14"/>
      <c r="E26" s="10"/>
      <c r="F26" s="10"/>
      <c r="G26" s="10"/>
      <c r="H26" s="10"/>
      <c r="I26" s="10"/>
      <c r="J26" s="10"/>
      <c r="K26" s="10"/>
      <c r="L26" s="10"/>
      <c r="M26" s="26"/>
      <c r="N26" s="50"/>
      <c r="O26" s="14"/>
      <c r="P26" s="13"/>
      <c r="Q26" s="13"/>
      <c r="R26" s="13"/>
      <c r="S26" s="10"/>
      <c r="T26" s="10"/>
      <c r="U26" s="245"/>
      <c r="V26" s="270"/>
      <c r="W26" s="373"/>
      <c r="X26" s="10"/>
    </row>
    <row r="27" spans="2:24" ht="25.5" customHeight="1">
      <c r="B27" s="452"/>
      <c r="C27" s="37"/>
      <c r="D27" s="14"/>
      <c r="E27" s="10"/>
      <c r="F27" s="10"/>
      <c r="G27" s="10"/>
      <c r="H27" s="10"/>
      <c r="I27" s="10"/>
      <c r="J27" s="10"/>
      <c r="K27" s="10"/>
      <c r="L27" s="10"/>
      <c r="M27" s="26"/>
      <c r="N27" s="50"/>
      <c r="O27" s="16" t="s">
        <v>68</v>
      </c>
      <c r="P27" s="157">
        <v>0</v>
      </c>
      <c r="Q27" s="157">
        <v>0</v>
      </c>
      <c r="R27" s="157">
        <v>3</v>
      </c>
      <c r="S27" s="19"/>
      <c r="T27" s="10" t="s">
        <v>8</v>
      </c>
      <c r="U27" s="245"/>
      <c r="V27" s="270"/>
      <c r="W27" s="373"/>
      <c r="X27" s="10"/>
    </row>
    <row r="28" spans="2:22" ht="4.5" customHeight="1">
      <c r="B28" s="452"/>
      <c r="C28" s="46"/>
      <c r="D28" s="20"/>
      <c r="E28" s="20"/>
      <c r="F28" s="20"/>
      <c r="G28" s="20"/>
      <c r="H28" s="20"/>
      <c r="I28" s="20"/>
      <c r="J28" s="20"/>
      <c r="K28" s="20"/>
      <c r="L28" s="20"/>
      <c r="M28" s="20"/>
      <c r="N28" s="35"/>
      <c r="O28" s="20"/>
      <c r="P28" s="20"/>
      <c r="Q28" s="20"/>
      <c r="R28" s="20"/>
      <c r="S28" s="20"/>
      <c r="T28" s="20"/>
      <c r="U28" s="243"/>
      <c r="V28" s="262"/>
    </row>
    <row r="29" spans="2:22" ht="4.5" customHeight="1">
      <c r="B29" s="452"/>
      <c r="C29" s="37"/>
      <c r="D29" s="14"/>
      <c r="E29" s="14"/>
      <c r="F29" s="20"/>
      <c r="G29" s="14"/>
      <c r="H29" s="14"/>
      <c r="I29" s="14"/>
      <c r="J29" s="14"/>
      <c r="K29" s="14"/>
      <c r="L29" s="14"/>
      <c r="M29" s="36"/>
      <c r="N29" s="10"/>
      <c r="O29" s="14"/>
      <c r="P29" s="14"/>
      <c r="Q29" s="14"/>
      <c r="R29" s="20"/>
      <c r="S29" s="14"/>
      <c r="T29" s="14"/>
      <c r="U29" s="237"/>
      <c r="V29" s="262"/>
    </row>
    <row r="30" spans="2:31" ht="24.75" customHeight="1">
      <c r="B30" s="452"/>
      <c r="C30" s="14" t="s">
        <v>75</v>
      </c>
      <c r="D30" s="14"/>
      <c r="E30" s="7"/>
      <c r="F30" s="45" t="s">
        <v>31</v>
      </c>
      <c r="G30" s="472" t="s">
        <v>76</v>
      </c>
      <c r="H30" s="473"/>
      <c r="I30" s="473"/>
      <c r="J30" s="473"/>
      <c r="K30" s="473"/>
      <c r="L30" s="474"/>
      <c r="M30" s="45" t="s">
        <v>33</v>
      </c>
      <c r="N30" s="19"/>
      <c r="O30" s="246" t="s">
        <v>71</v>
      </c>
      <c r="P30" s="154" t="str">
        <f>Y69</f>
        <v>2</v>
      </c>
      <c r="Q30" s="154" t="str">
        <f>Z69</f>
        <v>4</v>
      </c>
      <c r="R30" s="154" t="str">
        <f>AA69</f>
        <v>0</v>
      </c>
      <c r="S30" s="154" t="str">
        <f>AB69</f>
        <v>6</v>
      </c>
      <c r="T30" s="14"/>
      <c r="U30" s="237"/>
      <c r="V30" s="262"/>
      <c r="Y30" s="464"/>
      <c r="Z30" s="464"/>
      <c r="AA30" s="465"/>
      <c r="AB30" s="45" t="s">
        <v>31</v>
      </c>
      <c r="AC30" s="22" t="s">
        <v>32</v>
      </c>
      <c r="AD30" s="23"/>
      <c r="AE30" s="23"/>
    </row>
    <row r="31" spans="2:22" ht="15" customHeight="1">
      <c r="B31" s="452"/>
      <c r="C31" s="37"/>
      <c r="D31" s="14"/>
      <c r="E31" s="14"/>
      <c r="F31" s="14"/>
      <c r="G31" s="14"/>
      <c r="H31" s="14"/>
      <c r="I31" s="14"/>
      <c r="J31" s="14"/>
      <c r="K31" s="14"/>
      <c r="L31" s="14"/>
      <c r="M31" s="14"/>
      <c r="N31" s="10"/>
      <c r="O31" s="14"/>
      <c r="P31" s="14"/>
      <c r="Q31" s="14"/>
      <c r="R31" s="14"/>
      <c r="S31" s="14"/>
      <c r="T31" s="14"/>
      <c r="U31" s="237"/>
      <c r="V31" s="262"/>
    </row>
    <row r="32" spans="2:24" ht="15" customHeight="1">
      <c r="B32" s="452"/>
      <c r="C32" s="53" t="s">
        <v>92</v>
      </c>
      <c r="D32" s="53"/>
      <c r="E32" s="59"/>
      <c r="F32" s="14"/>
      <c r="G32" s="466">
        <f>'Calculation sheet'!G26</f>
        <v>4815</v>
      </c>
      <c r="H32" s="466"/>
      <c r="I32" s="466"/>
      <c r="J32" s="471" t="str">
        <f>CONCATENATE("(In words"," ",$Y$89,")")</f>
        <v>(In words Four thousand Eight hundred Fifteen Rupees only)</v>
      </c>
      <c r="K32" s="471"/>
      <c r="L32" s="471"/>
      <c r="M32" s="471"/>
      <c r="N32" s="471"/>
      <c r="O32" s="471"/>
      <c r="P32" s="471"/>
      <c r="Q32" s="471"/>
      <c r="R32" s="471"/>
      <c r="S32" s="471"/>
      <c r="T32" s="471"/>
      <c r="U32" s="247"/>
      <c r="V32" s="271"/>
      <c r="W32" s="374"/>
      <c r="X32" s="27"/>
    </row>
    <row r="33" spans="2:22" ht="23.25" customHeight="1">
      <c r="B33" s="452"/>
      <c r="C33" s="454"/>
      <c r="D33" s="454"/>
      <c r="E33" s="454"/>
      <c r="F33" s="454"/>
      <c r="G33" s="454"/>
      <c r="H33" s="454"/>
      <c r="I33" s="454"/>
      <c r="J33" s="454"/>
      <c r="K33" s="454"/>
      <c r="L33" s="454"/>
      <c r="M33" s="454"/>
      <c r="N33" s="454"/>
      <c r="O33" s="454"/>
      <c r="P33" s="454"/>
      <c r="Q33" s="454"/>
      <c r="R33" s="454"/>
      <c r="S33" s="454"/>
      <c r="T33" s="454"/>
      <c r="U33" s="237"/>
      <c r="V33" s="262"/>
    </row>
    <row r="34" spans="2:22" ht="6" customHeight="1">
      <c r="B34" s="452"/>
      <c r="C34" s="248" t="s">
        <v>72</v>
      </c>
      <c r="D34" s="249"/>
      <c r="E34" s="249"/>
      <c r="F34" s="249"/>
      <c r="G34" s="249"/>
      <c r="H34" s="249"/>
      <c r="I34" s="249"/>
      <c r="J34" s="249"/>
      <c r="K34" s="249"/>
      <c r="L34" s="249"/>
      <c r="M34" s="51"/>
      <c r="N34" s="58"/>
      <c r="O34" s="14"/>
      <c r="P34" s="14"/>
      <c r="Q34" s="14"/>
      <c r="R34" s="14"/>
      <c r="S34" s="14"/>
      <c r="T34" s="14"/>
      <c r="U34" s="237"/>
      <c r="V34" s="262"/>
    </row>
    <row r="35" spans="2:22" ht="16.5" customHeight="1">
      <c r="B35" s="452"/>
      <c r="C35" s="54"/>
      <c r="D35" s="54"/>
      <c r="E35" s="54"/>
      <c r="F35" s="54"/>
      <c r="G35" s="54"/>
      <c r="H35" s="54"/>
      <c r="I35" s="54"/>
      <c r="J35" s="455" t="s">
        <v>73</v>
      </c>
      <c r="K35" s="455"/>
      <c r="L35" s="455"/>
      <c r="M35" s="455"/>
      <c r="N35" s="10"/>
      <c r="O35" s="55"/>
      <c r="P35" s="23" t="s">
        <v>94</v>
      </c>
      <c r="Q35" s="52"/>
      <c r="R35" s="14"/>
      <c r="S35" s="14"/>
      <c r="T35" s="14"/>
      <c r="U35" s="237"/>
      <c r="V35" s="262"/>
    </row>
    <row r="36" spans="2:22" ht="22.5" customHeight="1">
      <c r="B36" s="452"/>
      <c r="C36" s="43" t="s">
        <v>93</v>
      </c>
      <c r="D36" s="249"/>
      <c r="E36" s="249"/>
      <c r="F36" s="249"/>
      <c r="G36" s="249"/>
      <c r="H36" s="249"/>
      <c r="I36" s="249"/>
      <c r="J36" s="249"/>
      <c r="K36" s="249"/>
      <c r="L36" s="249"/>
      <c r="M36" s="28"/>
      <c r="N36" s="28"/>
      <c r="O36" s="28"/>
      <c r="P36" s="28"/>
      <c r="Q36" s="28"/>
      <c r="R36" s="14"/>
      <c r="S36" s="14"/>
      <c r="T36" s="14"/>
      <c r="U36" s="237"/>
      <c r="V36" s="262"/>
    </row>
    <row r="37" spans="2:22" ht="22.5" customHeight="1">
      <c r="B37" s="236"/>
      <c r="C37" s="14"/>
      <c r="D37" s="249"/>
      <c r="E37" s="249"/>
      <c r="F37" s="249"/>
      <c r="G37" s="249"/>
      <c r="H37" s="249"/>
      <c r="I37" s="249"/>
      <c r="J37" s="249"/>
      <c r="K37" s="249"/>
      <c r="L37" s="249"/>
      <c r="M37" s="28"/>
      <c r="N37" s="28"/>
      <c r="O37" s="28"/>
      <c r="P37" s="28"/>
      <c r="Q37" s="28"/>
      <c r="R37" s="14"/>
      <c r="S37" s="14"/>
      <c r="T37" s="14"/>
      <c r="U37" s="237"/>
      <c r="V37" s="262"/>
    </row>
    <row r="38" spans="2:22" ht="36" customHeight="1">
      <c r="B38" s="236"/>
      <c r="C38" s="52"/>
      <c r="D38" s="249"/>
      <c r="E38" s="249"/>
      <c r="F38" s="249"/>
      <c r="G38" s="249"/>
      <c r="H38" s="249"/>
      <c r="I38" s="249"/>
      <c r="J38" s="249"/>
      <c r="K38" s="249"/>
      <c r="L38" s="249"/>
      <c r="M38" s="28"/>
      <c r="N38" s="28"/>
      <c r="O38" s="28"/>
      <c r="P38" s="28"/>
      <c r="Q38" s="250" t="s">
        <v>12</v>
      </c>
      <c r="R38" s="14"/>
      <c r="S38" s="14"/>
      <c r="T38" s="14"/>
      <c r="U38" s="237"/>
      <c r="V38" s="262"/>
    </row>
    <row r="39" spans="2:22" ht="22.5" customHeight="1">
      <c r="B39" s="236"/>
      <c r="C39" s="456" t="s">
        <v>34</v>
      </c>
      <c r="D39" s="456"/>
      <c r="E39" s="456"/>
      <c r="F39" s="456"/>
      <c r="G39" s="456"/>
      <c r="H39" s="456"/>
      <c r="I39" s="456"/>
      <c r="J39" s="456"/>
      <c r="K39" s="456"/>
      <c r="L39" s="456"/>
      <c r="M39" s="456"/>
      <c r="N39" s="456"/>
      <c r="O39" s="456"/>
      <c r="P39" s="456"/>
      <c r="Q39" s="456"/>
      <c r="R39" s="456"/>
      <c r="S39" s="456"/>
      <c r="T39" s="456"/>
      <c r="U39" s="240"/>
      <c r="V39" s="262"/>
    </row>
    <row r="40" spans="2:22" ht="18.75" customHeight="1">
      <c r="B40" s="236"/>
      <c r="C40" s="457" t="s">
        <v>35</v>
      </c>
      <c r="D40" s="457"/>
      <c r="E40" s="457"/>
      <c r="F40" s="457"/>
      <c r="G40" s="457"/>
      <c r="H40" s="457"/>
      <c r="I40" s="457"/>
      <c r="J40" s="457"/>
      <c r="K40" s="457"/>
      <c r="L40" s="457"/>
      <c r="M40" s="457"/>
      <c r="N40" s="457"/>
      <c r="O40" s="457"/>
      <c r="P40" s="457"/>
      <c r="Q40" s="457"/>
      <c r="R40" s="457"/>
      <c r="S40" s="457"/>
      <c r="T40" s="457"/>
      <c r="U40" s="458"/>
      <c r="V40" s="262"/>
    </row>
    <row r="41" spans="2:22" ht="18.75" customHeight="1">
      <c r="B41" s="236"/>
      <c r="C41" s="459" t="s">
        <v>36</v>
      </c>
      <c r="D41" s="459"/>
      <c r="E41" s="459"/>
      <c r="F41" s="459"/>
      <c r="G41" s="459"/>
      <c r="H41" s="459"/>
      <c r="I41" s="459"/>
      <c r="J41" s="459"/>
      <c r="K41" s="459"/>
      <c r="L41" s="459"/>
      <c r="M41" s="459"/>
      <c r="N41" s="459"/>
      <c r="O41" s="459"/>
      <c r="P41" s="459"/>
      <c r="Q41" s="459"/>
      <c r="R41" s="459"/>
      <c r="S41" s="459"/>
      <c r="T41" s="459"/>
      <c r="U41" s="460"/>
      <c r="V41" s="262"/>
    </row>
    <row r="42" spans="2:22" ht="18.75" customHeight="1">
      <c r="B42" s="236"/>
      <c r="C42" s="457" t="s">
        <v>95</v>
      </c>
      <c r="D42" s="457"/>
      <c r="E42" s="457"/>
      <c r="F42" s="457"/>
      <c r="G42" s="457"/>
      <c r="H42" s="457"/>
      <c r="I42" s="457"/>
      <c r="J42" s="457"/>
      <c r="K42" s="457"/>
      <c r="L42" s="457"/>
      <c r="M42" s="457"/>
      <c r="N42" s="457"/>
      <c r="O42" s="457"/>
      <c r="P42" s="457"/>
      <c r="Q42" s="457"/>
      <c r="R42" s="457"/>
      <c r="S42" s="457"/>
      <c r="T42" s="457"/>
      <c r="U42" s="458"/>
      <c r="V42" s="262"/>
    </row>
    <row r="43" spans="2:22" ht="17.25" customHeight="1">
      <c r="B43" s="236"/>
      <c r="C43" s="14"/>
      <c r="D43" s="14"/>
      <c r="E43" s="14"/>
      <c r="F43" s="14"/>
      <c r="G43" s="14"/>
      <c r="H43" s="14"/>
      <c r="I43" s="10"/>
      <c r="J43" s="14"/>
      <c r="K43" s="14"/>
      <c r="L43" s="14"/>
      <c r="M43" s="14"/>
      <c r="N43" s="10"/>
      <c r="O43" s="14"/>
      <c r="P43" s="14"/>
      <c r="Q43" s="14"/>
      <c r="R43" s="14"/>
      <c r="S43" s="14"/>
      <c r="T43" s="14"/>
      <c r="U43" s="237"/>
      <c r="V43" s="262"/>
    </row>
    <row r="44" spans="2:22" ht="17.25" customHeight="1">
      <c r="B44" s="236"/>
      <c r="C44" s="14"/>
      <c r="D44" s="14"/>
      <c r="E44" s="14"/>
      <c r="F44" s="14"/>
      <c r="G44" s="14"/>
      <c r="H44" s="14"/>
      <c r="I44" s="10"/>
      <c r="J44" s="14"/>
      <c r="K44" s="14"/>
      <c r="L44" s="14"/>
      <c r="M44" s="14"/>
      <c r="N44" s="10"/>
      <c r="O44" s="14"/>
      <c r="P44" s="14"/>
      <c r="Q44" s="14"/>
      <c r="R44" s="14"/>
      <c r="S44" s="14"/>
      <c r="T44" s="14"/>
      <c r="U44" s="237"/>
      <c r="V44" s="262"/>
    </row>
    <row r="45" spans="2:22" ht="17.25" customHeight="1">
      <c r="B45" s="236"/>
      <c r="C45" s="14"/>
      <c r="D45" s="14"/>
      <c r="E45" s="14"/>
      <c r="F45" s="14"/>
      <c r="G45" s="14"/>
      <c r="H45" s="14"/>
      <c r="I45" s="10"/>
      <c r="J45" s="14"/>
      <c r="K45" s="14"/>
      <c r="L45" s="14"/>
      <c r="M45" s="14"/>
      <c r="N45" s="10"/>
      <c r="O45" s="14"/>
      <c r="P45" s="14"/>
      <c r="Q45" s="14"/>
      <c r="R45" s="14"/>
      <c r="S45" s="14"/>
      <c r="T45" s="14"/>
      <c r="U45" s="237"/>
      <c r="V45" s="262"/>
    </row>
    <row r="46" spans="2:22" ht="17.25" customHeight="1">
      <c r="B46" s="236"/>
      <c r="C46" s="14"/>
      <c r="D46" s="14"/>
      <c r="E46" s="14"/>
      <c r="F46" s="14"/>
      <c r="G46" s="14"/>
      <c r="H46" s="14"/>
      <c r="I46" s="14"/>
      <c r="J46" s="14"/>
      <c r="K46" s="14"/>
      <c r="L46" s="14"/>
      <c r="M46" s="14"/>
      <c r="N46" s="10"/>
      <c r="O46" s="453" t="s">
        <v>37</v>
      </c>
      <c r="P46" s="453"/>
      <c r="Q46" s="453"/>
      <c r="R46" s="453"/>
      <c r="S46" s="453"/>
      <c r="T46" s="453"/>
      <c r="U46" s="237"/>
      <c r="V46" s="262"/>
    </row>
    <row r="47" spans="2:22" ht="21.75" customHeight="1">
      <c r="B47" s="236"/>
      <c r="C47" s="14"/>
      <c r="D47" s="14"/>
      <c r="E47" s="251"/>
      <c r="F47" s="14"/>
      <c r="G47" s="14"/>
      <c r="H47" s="14"/>
      <c r="I47" s="14"/>
      <c r="J47" s="14"/>
      <c r="K47" s="14"/>
      <c r="L47" s="14"/>
      <c r="M47" s="14"/>
      <c r="N47" s="10"/>
      <c r="O47" s="14"/>
      <c r="P47" s="14"/>
      <c r="Q47" s="14"/>
      <c r="R47" s="14"/>
      <c r="S47" s="14"/>
      <c r="T47" s="14"/>
      <c r="U47" s="237"/>
      <c r="V47" s="262"/>
    </row>
    <row r="48" spans="2:22" ht="12.75">
      <c r="B48" s="236"/>
      <c r="C48" s="14"/>
      <c r="D48" s="14"/>
      <c r="E48" s="14"/>
      <c r="F48" s="14"/>
      <c r="G48" s="14"/>
      <c r="H48" s="14"/>
      <c r="I48" s="14"/>
      <c r="J48" s="14"/>
      <c r="K48" s="14"/>
      <c r="L48" s="14"/>
      <c r="M48" s="14"/>
      <c r="N48" s="10"/>
      <c r="O48" s="14"/>
      <c r="P48" s="14"/>
      <c r="Q48" s="14"/>
      <c r="R48" s="14"/>
      <c r="S48" s="14"/>
      <c r="T48" s="14"/>
      <c r="U48" s="237"/>
      <c r="V48" s="262"/>
    </row>
    <row r="49" spans="2:22" ht="13.5" thickBot="1">
      <c r="B49" s="252"/>
      <c r="C49" s="253"/>
      <c r="D49" s="253"/>
      <c r="E49" s="253"/>
      <c r="F49" s="253"/>
      <c r="G49" s="253"/>
      <c r="H49" s="253"/>
      <c r="I49" s="253"/>
      <c r="J49" s="253"/>
      <c r="K49" s="253"/>
      <c r="L49" s="253"/>
      <c r="M49" s="253"/>
      <c r="N49" s="254"/>
      <c r="O49" s="253"/>
      <c r="P49" s="253"/>
      <c r="Q49" s="253"/>
      <c r="R49" s="253"/>
      <c r="S49" s="253"/>
      <c r="T49" s="253"/>
      <c r="U49" s="255"/>
      <c r="V49" s="262"/>
    </row>
    <row r="50" spans="14:23" s="262" customFormat="1" ht="21.75" customHeight="1">
      <c r="N50" s="263"/>
      <c r="W50" s="366"/>
    </row>
    <row r="51" ht="12.75" hidden="1"/>
    <row r="52" ht="12.75" hidden="1"/>
    <row r="53" ht="12.75" hidden="1"/>
    <row r="54" ht="12.75" hidden="1"/>
    <row r="55" ht="12.75" hidden="1"/>
    <row r="56" ht="12.75" hidden="1">
      <c r="Z56" s="60" t="str">
        <f>Z9</f>
        <v>03010402001</v>
      </c>
    </row>
    <row r="57" ht="12.75" hidden="1">
      <c r="Y57" s="1" t="str">
        <f>LEFT(Z56,4)</f>
        <v>0301</v>
      </c>
    </row>
    <row r="58" spans="25:29" ht="12.75" hidden="1">
      <c r="Y58" s="1" t="str">
        <f>LEFT(Y57,1)</f>
        <v>0</v>
      </c>
      <c r="Z58" s="1" t="str">
        <f>RIGHT(LEFT(Y57,2),1)</f>
        <v>3</v>
      </c>
      <c r="AA58" s="1" t="str">
        <f>LEFT(RIGHT(Y57,2),1)</f>
        <v>0</v>
      </c>
      <c r="AB58" s="1" t="str">
        <f>RIGHT(RIGHT(Y57,2),1)</f>
        <v>1</v>
      </c>
      <c r="AC58" s="1">
        <f>RIGHT(RIGHT(Z57,2),1)</f>
      </c>
    </row>
    <row r="59" ht="12.75" hidden="1">
      <c r="Z59" s="1">
        <v>2406010010003010</v>
      </c>
    </row>
    <row r="60" ht="12.75" hidden="1"/>
    <row r="61" ht="12.75" hidden="1">
      <c r="Z61" s="1" t="str">
        <f>LEFT(Z59,6)</f>
        <v>240601</v>
      </c>
    </row>
    <row r="62" ht="12.75" hidden="1"/>
    <row r="63" spans="25:27" ht="12.75" hidden="1">
      <c r="Y63" s="1" t="str">
        <f>LEFT(Z61,4)</f>
        <v>2406</v>
      </c>
      <c r="Z63" s="1" t="str">
        <f>LEFT(Z61,3)</f>
        <v>240</v>
      </c>
      <c r="AA63" s="1" t="str">
        <f>RIGHT(Z61,3)</f>
        <v>601</v>
      </c>
    </row>
    <row r="64" ht="12.75" hidden="1"/>
    <row r="65" spans="25:27" ht="12.75" hidden="1">
      <c r="Y65" s="1" t="str">
        <f>LEFT(Y63,1)</f>
        <v>2</v>
      </c>
      <c r="Z65" s="1" t="str">
        <f>LEFT(RIGHT(Z63,2),1)</f>
        <v>4</v>
      </c>
      <c r="AA65" s="1">
        <f>RIGHT(AA63,1)*1</f>
        <v>1</v>
      </c>
    </row>
    <row r="66" spans="28:29" ht="12.75" hidden="1">
      <c r="AB66" s="61" t="s">
        <v>158</v>
      </c>
      <c r="AC66" s="61" t="s">
        <v>158</v>
      </c>
    </row>
    <row r="67" ht="12.75" hidden="1">
      <c r="Z67" s="1" t="str">
        <f>LEFT(Z61,4)</f>
        <v>2406</v>
      </c>
    </row>
    <row r="68" ht="12.75" hidden="1"/>
    <row r="69" spans="25:28" ht="12.75" hidden="1">
      <c r="Y69" s="1" t="str">
        <f>LEFT(RIGHT(Z67,4),1)</f>
        <v>2</v>
      </c>
      <c r="Z69" s="1" t="str">
        <f>LEFT(RIGHT(Z67,3),1)</f>
        <v>4</v>
      </c>
      <c r="AA69" s="1" t="str">
        <f>LEFT(RIGHT(Z67,2),1)</f>
        <v>0</v>
      </c>
      <c r="AB69" s="1" t="str">
        <f>RIGHT(RIGHT(Z67,2),1)</f>
        <v>6</v>
      </c>
    </row>
    <row r="70" ht="12.75" hidden="1"/>
    <row r="71" ht="12.75" hidden="1"/>
    <row r="72" ht="12.75" hidden="1"/>
    <row r="73" ht="12.75" hidden="1"/>
    <row r="74" ht="12.75" hidden="1"/>
    <row r="75" ht="12.75" hidden="1"/>
    <row r="76" ht="12.75" hidden="1"/>
    <row r="77" spans="25:61" ht="12.75" hidden="1">
      <c r="Y77" s="194">
        <f>G32</f>
        <v>4815</v>
      </c>
      <c r="Z77" s="62">
        <f>(Y77-Y80)/1000</f>
        <v>4</v>
      </c>
      <c r="AA77" s="62"/>
      <c r="AB77" s="62"/>
      <c r="AC77" s="62"/>
      <c r="AD77" s="62"/>
      <c r="AE77" s="62"/>
      <c r="AF77" s="62"/>
      <c r="AG77" s="62"/>
      <c r="AH77" s="62"/>
      <c r="AI77" s="62"/>
      <c r="AJ77" s="62"/>
      <c r="AK77" s="62"/>
      <c r="AL77" s="62">
        <v>1</v>
      </c>
      <c r="AM77" s="62" t="s">
        <v>38</v>
      </c>
      <c r="AN77" s="62"/>
      <c r="AO77" s="29"/>
      <c r="AP77" s="62"/>
      <c r="AQ77" s="62"/>
      <c r="AR77" s="62"/>
      <c r="AS77" s="62"/>
      <c r="AT77" s="62"/>
      <c r="AU77" s="62"/>
      <c r="AV77" s="62"/>
      <c r="AW77" s="62"/>
      <c r="AX77" s="62"/>
      <c r="AY77" s="62"/>
      <c r="AZ77" s="62"/>
      <c r="BA77" s="62"/>
      <c r="BB77" s="62"/>
      <c r="BC77" s="62"/>
      <c r="BD77" s="62"/>
      <c r="BE77" s="62"/>
      <c r="BF77" s="62"/>
      <c r="BG77" s="62"/>
      <c r="BH77" s="62"/>
      <c r="BI77" s="62"/>
    </row>
    <row r="78" spans="25:61" ht="12.75" hidden="1">
      <c r="Y78" s="62">
        <f>(Z77-Y79)/100</f>
        <v>0</v>
      </c>
      <c r="Z78" s="62">
        <f>Y78</f>
        <v>0</v>
      </c>
      <c r="AA78" s="62">
        <f>RIGHT(Z78,2)*1</f>
        <v>0</v>
      </c>
      <c r="AB78" s="62">
        <f>(Z78-AA78)/100</f>
        <v>0</v>
      </c>
      <c r="AC78" s="62">
        <f>(AA78-RIGHT(AA78,1)*1)/10</f>
        <v>0</v>
      </c>
      <c r="AD78" s="62">
        <f>RIGHT(Z78,1)*1</f>
        <v>0</v>
      </c>
      <c r="AE78" s="62" t="str">
        <f>IF(AC78=AL78,AN78,IF(AC78=AL79,AN79,IF(AC78=AL80,AN80,IF(AC78=AL81,AN81,IF(AC78=AL82,AN82,IF(AC78=AL83,AN83,IF(AC78=AL84,AN84,IF(AC78=AL85,AN85," "))))))))</f>
        <v> </v>
      </c>
      <c r="AF78" s="62" t="str">
        <f>IF(AC78=1," ",IF(AD78=AL77,AM77,IF(AD78=AL78,AM78,IF(AD78=AL79,AM79,IF(AD78=AL80,AM80,IF(AD78=AL81,AM81,IF(AD78=AL82,AM82," ")))))))</f>
        <v> </v>
      </c>
      <c r="AG78" s="62" t="str">
        <f>IF(AC78=1," ",IF(AD78=AL83,AM83,IF(AD78=AL84,AM84,IF(AD78=AL85,AM85," "))))</f>
        <v> </v>
      </c>
      <c r="AH78" s="62" t="str">
        <f>IF(AC78=0," ",IF(AC78&gt;1," ",IF(AD78=AL78,AM88,IF(AD78=AL79,AM89,IF(AD78=AL80,AM90,IF(AD78=AL81,AM91,IF(AD78=AL82,AM92,IF(AD78=AL83,AM93," "))))))))</f>
        <v> </v>
      </c>
      <c r="AI78" s="62" t="str">
        <f>IF(AC78=0," ",IF(AC78&gt;1," ",IF(AD78=AL84,AM94,IF(AD78=AL85,AM95,IF(AD78=AL77,AM87,IF(AD78=0,AM86," "))))))</f>
        <v> </v>
      </c>
      <c r="AJ78" s="62" t="str">
        <f>IF(AC78=0," ","lakh")</f>
        <v> </v>
      </c>
      <c r="AK78" s="62" t="str">
        <f>IF(AD78=0," ",IF(AC78&gt;0," ","lakh"))</f>
        <v> </v>
      </c>
      <c r="AL78" s="62">
        <v>2</v>
      </c>
      <c r="AM78" s="62" t="s">
        <v>39</v>
      </c>
      <c r="AN78" s="62" t="s">
        <v>40</v>
      </c>
      <c r="AO78" s="29"/>
      <c r="AP78" s="62"/>
      <c r="AQ78" s="62"/>
      <c r="AR78" s="62"/>
      <c r="AS78" s="62"/>
      <c r="AT78" s="62"/>
      <c r="AU78" s="62"/>
      <c r="AV78" s="62"/>
      <c r="AW78" s="62"/>
      <c r="AX78" s="62"/>
      <c r="AY78" s="62"/>
      <c r="AZ78" s="62"/>
      <c r="BA78" s="62"/>
      <c r="BB78" s="62"/>
      <c r="BC78" s="62"/>
      <c r="BD78" s="62"/>
      <c r="BE78" s="62"/>
      <c r="BF78" s="62"/>
      <c r="BG78" s="62"/>
      <c r="BH78" s="62"/>
      <c r="BI78" s="62"/>
    </row>
    <row r="79" spans="25:61" ht="12.75" hidden="1">
      <c r="Y79" s="62">
        <f>RIGHT(Z77,2)*1</f>
        <v>4</v>
      </c>
      <c r="Z79" s="62">
        <f>Y79</f>
        <v>4</v>
      </c>
      <c r="AA79" s="62">
        <f>RIGHT(Z79,2)*1</f>
        <v>4</v>
      </c>
      <c r="AB79" s="62">
        <f>(Z79-AA79)/100</f>
        <v>0</v>
      </c>
      <c r="AC79" s="62">
        <f>(AA79-RIGHT(AA79,1)*1)/10</f>
        <v>0</v>
      </c>
      <c r="AD79" s="62">
        <f>RIGHT(Z79,1)*1</f>
        <v>4</v>
      </c>
      <c r="AE79" s="62" t="str">
        <f>IF(AC79=AL78,AN78,IF(AC79=AL79,AN79,IF(AC79=AL80,AN80,IF(AC79=AL81,AN81,IF(AC79=AL82,AN82,IF(AC79=AL83,AN83,IF(AC79=AL84,AN84,IF(AC79=AL85,AN85," "))))))))</f>
        <v> </v>
      </c>
      <c r="AF79" s="62" t="str">
        <f>IF(AC79=1," ",IF(AD79=AL77,AM77,IF(AD79=AL78,AM78,IF(AD79=AL79,AM79,IF(AD79=AL80,AM80,IF(AD79=AL81,AM81,IF(AD79=AL82,AM82," ")))))))</f>
        <v>Four</v>
      </c>
      <c r="AG79" s="62" t="str">
        <f>IF(AC79=1," ",IF(AD79=AL83,AM83,IF(AD79=AL84,AM84,IF(AD79=AL85,AM85," "))))</f>
        <v> </v>
      </c>
      <c r="AH79" s="62" t="str">
        <f>IF(AC79=0," ",IF(AC79&gt;1," ",IF(AD79=AL78,AM88,IF(AD79=AL79,AM89,IF(AD79=AL80,AM90,IF(AD79=AL81,AM91,IF(AD79=AL82,AM92,IF(AD79=AL83,AM93," "))))))))</f>
        <v> </v>
      </c>
      <c r="AI79" s="62" t="str">
        <f>IF(AC79=0," ",IF(AC79&gt;1," ",IF(AD79=AL84,AM94,IF(AD79=AL85,AM95,IF(AD79=AL77,AM87,IF(AD79=0,AM86," "))))))</f>
        <v> </v>
      </c>
      <c r="AJ79" s="62" t="str">
        <f>IF(AC79=0," ","thousand")</f>
        <v> </v>
      </c>
      <c r="AK79" s="62" t="str">
        <f>IF(AD79=0," ",IF(AC79&gt;0," ","thousand"))</f>
        <v>thousand</v>
      </c>
      <c r="AL79" s="62">
        <v>3</v>
      </c>
      <c r="AM79" s="62" t="s">
        <v>41</v>
      </c>
      <c r="AN79" s="62" t="s">
        <v>42</v>
      </c>
      <c r="AO79" s="29"/>
      <c r="AP79" s="62"/>
      <c r="AQ79" s="62"/>
      <c r="AR79" s="62"/>
      <c r="AS79" s="62"/>
      <c r="AT79" s="62"/>
      <c r="AU79" s="62"/>
      <c r="AV79" s="62"/>
      <c r="AW79" s="62"/>
      <c r="AX79" s="62"/>
      <c r="AY79" s="62"/>
      <c r="AZ79" s="62"/>
      <c r="BA79" s="62"/>
      <c r="BB79" s="62"/>
      <c r="BC79" s="62"/>
      <c r="BD79" s="62"/>
      <c r="BE79" s="62"/>
      <c r="BF79" s="62"/>
      <c r="BG79" s="62"/>
      <c r="BH79" s="62"/>
      <c r="BI79" s="62"/>
    </row>
    <row r="80" spans="25:61" ht="12.75" hidden="1">
      <c r="Y80" s="62">
        <f>RIGHT(Y77,3)*1</f>
        <v>815</v>
      </c>
      <c r="Z80" s="62">
        <f>Y80</f>
        <v>815</v>
      </c>
      <c r="AA80" s="62">
        <f>ROUND((Z80-AB81)/100,0)</f>
        <v>8</v>
      </c>
      <c r="AB80" s="62"/>
      <c r="AC80" s="62"/>
      <c r="AD80" s="62"/>
      <c r="AE80" s="62"/>
      <c r="AF80" s="62" t="str">
        <f>IF(AA80=0," ",IF(AA80=AL77,AM77,IF(AA80=AL78,AM78,IF(AA80=AL79,AM79,IF(AA80=AL80,AM80,IF(AA80=AL81,AM81,IF(AA80=AL82,AM82," ")))))))</f>
        <v> </v>
      </c>
      <c r="AG80" s="62" t="str">
        <f>IF(AA80=0," ",IF(AA80=AL83,AM83,IF(AA80=AL84,AM84,IF(AA80=AL85,AM85," "))))</f>
        <v>Eight</v>
      </c>
      <c r="AH80" s="62"/>
      <c r="AI80" s="62"/>
      <c r="AJ80" s="62" t="str">
        <f>IF(AA80=0," ","hundred")</f>
        <v>hundred</v>
      </c>
      <c r="AK80" s="62"/>
      <c r="AL80" s="62">
        <v>4</v>
      </c>
      <c r="AM80" s="62" t="s">
        <v>43</v>
      </c>
      <c r="AN80" s="62" t="s">
        <v>44</v>
      </c>
      <c r="AO80" s="29"/>
      <c r="AP80" s="62"/>
      <c r="AQ80" s="62"/>
      <c r="AR80" s="62"/>
      <c r="AS80" s="62"/>
      <c r="AT80" s="62"/>
      <c r="AU80" s="62"/>
      <c r="AV80" s="62"/>
      <c r="AW80" s="62"/>
      <c r="AX80" s="62"/>
      <c r="AY80" s="62"/>
      <c r="AZ80" s="62"/>
      <c r="BA80" s="62"/>
      <c r="BB80" s="62"/>
      <c r="BC80" s="62"/>
      <c r="BD80" s="62"/>
      <c r="BE80" s="62"/>
      <c r="BF80" s="62"/>
      <c r="BG80" s="62"/>
      <c r="BH80" s="62"/>
      <c r="BI80" s="62"/>
    </row>
    <row r="81" spans="18:61" ht="12.75" hidden="1">
      <c r="R81" s="29"/>
      <c r="S81" s="29"/>
      <c r="T81" s="29"/>
      <c r="U81" s="29"/>
      <c r="Y81" s="62"/>
      <c r="Z81" s="62"/>
      <c r="AA81" s="62"/>
      <c r="AB81" s="62">
        <f>RIGHT(Z80,2)*1</f>
        <v>15</v>
      </c>
      <c r="AC81" s="62">
        <f>(AB81-RIGHT(AB81,1)*1)/10</f>
        <v>1</v>
      </c>
      <c r="AD81" s="62">
        <f>RIGHT(Z80,1)*1</f>
        <v>5</v>
      </c>
      <c r="AE81" s="62" t="str">
        <f>IF(AC81=AL78,AN78,IF(AC81=AL79,AN79,IF(AC81=AL80,AN80,IF(AC81=AL81,AN81,IF(AC81=AL82,AN82,IF(AC81=AL83,AN83,IF(AC81=AL84,AN84,IF(AC81=AL85,AN85," "))))))))</f>
        <v> </v>
      </c>
      <c r="AF81" s="62" t="str">
        <f>IF(AC81=1," ",IF(AD81=AL77,AM77,IF(AD81=AL78,AM78,IF(AD81=AL79,AM79,IF(AD81=AL80,AM80,IF(AD81=AL81,AM81,IF(AD81=AL82,AM82," ")))))))</f>
        <v> </v>
      </c>
      <c r="AG81" s="62" t="str">
        <f>IF(AC81=1," ",IF(AD81=AL83,AM83,IF(AD81=AL84,AM84,IF(AD81=AL85,AM85," "))))</f>
        <v> </v>
      </c>
      <c r="AH81" s="62" t="str">
        <f>IF(AC81=0," ",IF(AC81&gt;1," ",IF(AD81=AL78,AM88,IF(AD81=AL79,AM89,IF(AD81=AL80,AM90,IF(AD81=AL81,AM91,IF(AD81=AL82,AM92,IF(AD81=AL83,AM93," "))))))))</f>
        <v>Fifteen</v>
      </c>
      <c r="AI81" s="62" t="str">
        <f>IF(AC81=0," ",IF(AC81&gt;1," ",IF(AD81=AL84,AM94,IF(AD81=AL85,AM95,IF(AD81=AL77,AM87,IF(AD81=0,AM86," "))))))</f>
        <v> </v>
      </c>
      <c r="AJ81" s="62"/>
      <c r="AK81" s="62"/>
      <c r="AL81" s="62">
        <v>5</v>
      </c>
      <c r="AM81" s="62" t="s">
        <v>45</v>
      </c>
      <c r="AN81" s="62" t="s">
        <v>46</v>
      </c>
      <c r="AO81" s="29"/>
      <c r="AP81" s="62"/>
      <c r="AQ81" s="62"/>
      <c r="AR81" s="62"/>
      <c r="AS81" s="62"/>
      <c r="AT81" s="62"/>
      <c r="AU81" s="62"/>
      <c r="AV81" s="62"/>
      <c r="AW81" s="62"/>
      <c r="AX81" s="62"/>
      <c r="AY81" s="62"/>
      <c r="AZ81" s="62"/>
      <c r="BA81" s="62"/>
      <c r="BB81" s="62"/>
      <c r="BC81" s="62"/>
      <c r="BD81" s="62"/>
      <c r="BE81" s="62"/>
      <c r="BF81" s="62"/>
      <c r="BG81" s="62"/>
      <c r="BH81" s="62"/>
      <c r="BI81" s="62"/>
    </row>
    <row r="82" spans="18:61" ht="12.75" hidden="1">
      <c r="R82" s="29"/>
      <c r="S82" s="29"/>
      <c r="T82" s="29"/>
      <c r="U82" s="29"/>
      <c r="Y82" s="62"/>
      <c r="Z82" s="62"/>
      <c r="AA82" s="62"/>
      <c r="AB82" s="62"/>
      <c r="AC82" s="62">
        <f>AC81</f>
        <v>1</v>
      </c>
      <c r="AD82" s="62">
        <f>AD81</f>
        <v>5</v>
      </c>
      <c r="AE82" s="62"/>
      <c r="AF82" s="62"/>
      <c r="AG82" s="62"/>
      <c r="AH82" s="62"/>
      <c r="AI82" s="62"/>
      <c r="AJ82" s="62"/>
      <c r="AK82" s="62"/>
      <c r="AL82" s="62">
        <v>6</v>
      </c>
      <c r="AM82" s="62" t="s">
        <v>47</v>
      </c>
      <c r="AN82" s="62" t="s">
        <v>48</v>
      </c>
      <c r="AO82" s="29"/>
      <c r="AP82" s="62"/>
      <c r="AQ82" s="62"/>
      <c r="AR82" s="62"/>
      <c r="AS82" s="62"/>
      <c r="AT82" s="62"/>
      <c r="AU82" s="62"/>
      <c r="AV82" s="62"/>
      <c r="AW82" s="62"/>
      <c r="AX82" s="62"/>
      <c r="AY82" s="62"/>
      <c r="AZ82" s="62"/>
      <c r="BA82" s="62"/>
      <c r="BB82" s="62"/>
      <c r="BC82" s="62"/>
      <c r="BD82" s="62"/>
      <c r="BE82" s="62"/>
      <c r="BF82" s="62"/>
      <c r="BG82" s="62"/>
      <c r="BH82" s="62"/>
      <c r="BI82" s="62"/>
    </row>
    <row r="83" spans="18:61" ht="12.75" hidden="1">
      <c r="R83" s="29"/>
      <c r="S83" s="29"/>
      <c r="T83" s="29"/>
      <c r="U83" s="29"/>
      <c r="Y83" s="62"/>
      <c r="Z83" s="62"/>
      <c r="AA83" s="62"/>
      <c r="AB83" s="62"/>
      <c r="AC83" s="62"/>
      <c r="AD83" s="62"/>
      <c r="AE83" s="62"/>
      <c r="AF83" s="62"/>
      <c r="AG83" s="62"/>
      <c r="AH83" s="62"/>
      <c r="AI83" s="62"/>
      <c r="AJ83" s="62"/>
      <c r="AK83" s="62"/>
      <c r="AL83" s="62">
        <v>7</v>
      </c>
      <c r="AM83" s="62" t="s">
        <v>49</v>
      </c>
      <c r="AN83" s="62" t="s">
        <v>50</v>
      </c>
      <c r="AO83" s="29"/>
      <c r="AP83" s="62"/>
      <c r="AQ83" s="62"/>
      <c r="AR83" s="62"/>
      <c r="AS83" s="62"/>
      <c r="AT83" s="62"/>
      <c r="AU83" s="62"/>
      <c r="AV83" s="62"/>
      <c r="AW83" s="62"/>
      <c r="AX83" s="62"/>
      <c r="AY83" s="62"/>
      <c r="AZ83" s="62"/>
      <c r="BA83" s="62"/>
      <c r="BB83" s="62"/>
      <c r="BC83" s="62"/>
      <c r="BD83" s="62"/>
      <c r="BE83" s="62"/>
      <c r="BF83" s="62"/>
      <c r="BG83" s="62"/>
      <c r="BH83" s="62"/>
      <c r="BI83" s="62"/>
    </row>
    <row r="84" spans="18:61" ht="12.75" hidden="1">
      <c r="R84" s="29"/>
      <c r="S84" s="29"/>
      <c r="T84" s="29"/>
      <c r="U84" s="29"/>
      <c r="Y84" s="62"/>
      <c r="Z84" s="62"/>
      <c r="AA84" s="62"/>
      <c r="AB84" s="62"/>
      <c r="AC84" s="62"/>
      <c r="AD84" s="62"/>
      <c r="AE84" s="62"/>
      <c r="AF84" s="62"/>
      <c r="AG84" s="62"/>
      <c r="AH84" s="62"/>
      <c r="AI84" s="62"/>
      <c r="AJ84" s="62"/>
      <c r="AK84" s="62"/>
      <c r="AL84" s="62">
        <v>8</v>
      </c>
      <c r="AM84" s="62" t="s">
        <v>51</v>
      </c>
      <c r="AN84" s="62" t="s">
        <v>52</v>
      </c>
      <c r="AO84" s="29"/>
      <c r="AP84" s="62"/>
      <c r="AQ84" s="62"/>
      <c r="AR84" s="62"/>
      <c r="AS84" s="62"/>
      <c r="AT84" s="62"/>
      <c r="AU84" s="62"/>
      <c r="AV84" s="62"/>
      <c r="AW84" s="62"/>
      <c r="AX84" s="62"/>
      <c r="AY84" s="62"/>
      <c r="AZ84" s="62"/>
      <c r="BA84" s="62"/>
      <c r="BB84" s="62"/>
      <c r="BC84" s="62"/>
      <c r="BD84" s="62"/>
      <c r="BE84" s="62"/>
      <c r="BF84" s="62"/>
      <c r="BG84" s="62"/>
      <c r="BH84" s="62"/>
      <c r="BI84" s="62"/>
    </row>
    <row r="85" spans="18:61" ht="12.75" hidden="1">
      <c r="R85" s="29"/>
      <c r="S85" s="29"/>
      <c r="T85" s="29"/>
      <c r="U85" s="29"/>
      <c r="Y85" s="62">
        <f>TRIM(AE78&amp;" "&amp;AF78&amp;" "&amp;AG78&amp;" "&amp;AH78&amp;" "&amp;AI78&amp;" "&amp;AJ78&amp;" "&amp;AK78)</f>
      </c>
      <c r="Z85" s="62"/>
      <c r="AA85" s="62"/>
      <c r="AB85" s="62"/>
      <c r="AC85" s="62"/>
      <c r="AD85" s="62"/>
      <c r="AE85" s="62"/>
      <c r="AF85" s="62"/>
      <c r="AG85" s="62"/>
      <c r="AH85" s="62"/>
      <c r="AI85" s="62"/>
      <c r="AJ85" s="62"/>
      <c r="AK85" s="62"/>
      <c r="AL85" s="62">
        <v>9</v>
      </c>
      <c r="AM85" s="62" t="s">
        <v>53</v>
      </c>
      <c r="AN85" s="62" t="s">
        <v>54</v>
      </c>
      <c r="AO85" s="29"/>
      <c r="AP85" s="62"/>
      <c r="AQ85" s="62"/>
      <c r="AR85" s="62"/>
      <c r="AS85" s="62"/>
      <c r="AT85" s="62"/>
      <c r="AU85" s="62"/>
      <c r="AV85" s="62"/>
      <c r="AW85" s="62"/>
      <c r="AX85" s="62"/>
      <c r="AY85" s="62"/>
      <c r="AZ85" s="62"/>
      <c r="BA85" s="62"/>
      <c r="BB85" s="62"/>
      <c r="BC85" s="62"/>
      <c r="BD85" s="62"/>
      <c r="BE85" s="62"/>
      <c r="BF85" s="62"/>
      <c r="BG85" s="62"/>
      <c r="BH85" s="62"/>
      <c r="BI85" s="62"/>
    </row>
    <row r="86" spans="18:61" ht="12.75" hidden="1">
      <c r="R86" s="29"/>
      <c r="S86" s="29"/>
      <c r="T86" s="29"/>
      <c r="U86" s="29"/>
      <c r="Y86" s="62" t="str">
        <f>TRIM(AE79&amp;" "&amp;AF79&amp;" "&amp;AG79&amp;" "&amp;AH79&amp;" "&amp;AI79&amp;" "&amp;AJ79&amp;" "&amp;AK79)</f>
        <v>Four thousand</v>
      </c>
      <c r="Z86" s="62"/>
      <c r="AA86" s="62"/>
      <c r="AB86" s="62"/>
      <c r="AC86" s="62"/>
      <c r="AD86" s="62"/>
      <c r="AE86" s="62"/>
      <c r="AF86" s="62"/>
      <c r="AG86" s="62"/>
      <c r="AH86" s="62"/>
      <c r="AI86" s="62"/>
      <c r="AJ86" s="62"/>
      <c r="AK86" s="62"/>
      <c r="AL86" s="62">
        <v>10</v>
      </c>
      <c r="AM86" s="62" t="s">
        <v>55</v>
      </c>
      <c r="AN86" s="62"/>
      <c r="AO86" s="29"/>
      <c r="AP86" s="62"/>
      <c r="AQ86" s="62"/>
      <c r="AR86" s="62"/>
      <c r="AS86" s="62"/>
      <c r="AT86" s="62"/>
      <c r="AU86" s="62"/>
      <c r="AV86" s="62"/>
      <c r="AW86" s="62"/>
      <c r="AX86" s="62"/>
      <c r="AY86" s="62"/>
      <c r="AZ86" s="62"/>
      <c r="BA86" s="62"/>
      <c r="BB86" s="62"/>
      <c r="BC86" s="62"/>
      <c r="BD86" s="62"/>
      <c r="BE86" s="62"/>
      <c r="BF86" s="62"/>
      <c r="BG86" s="62"/>
      <c r="BH86" s="62"/>
      <c r="BI86" s="62"/>
    </row>
    <row r="87" spans="18:61" ht="12.75" hidden="1">
      <c r="R87" s="29"/>
      <c r="S87" s="29"/>
      <c r="T87" s="29"/>
      <c r="U87" s="29"/>
      <c r="Y87" s="62" t="str">
        <f>TRIM(AE80&amp;" "&amp;AF80&amp;" "&amp;AG80&amp;" "&amp;AH80&amp;" "&amp;AI80&amp;" "&amp;AJ80&amp;" "&amp;AK80)</f>
        <v>Eight hundred</v>
      </c>
      <c r="Z87" s="62"/>
      <c r="AA87" s="62"/>
      <c r="AB87" s="62"/>
      <c r="AC87" s="62"/>
      <c r="AD87" s="62"/>
      <c r="AE87" s="62"/>
      <c r="AF87" s="62"/>
      <c r="AG87" s="62"/>
      <c r="AH87" s="62"/>
      <c r="AI87" s="62"/>
      <c r="AJ87" s="62"/>
      <c r="AK87" s="62"/>
      <c r="AL87" s="62">
        <v>11</v>
      </c>
      <c r="AM87" s="62" t="s">
        <v>56</v>
      </c>
      <c r="AN87" s="62"/>
      <c r="AO87" s="29"/>
      <c r="AP87" s="62"/>
      <c r="AQ87" s="62"/>
      <c r="AR87" s="62"/>
      <c r="AS87" s="62"/>
      <c r="AT87" s="62"/>
      <c r="AU87" s="62"/>
      <c r="AV87" s="62"/>
      <c r="AW87" s="62"/>
      <c r="AX87" s="62"/>
      <c r="AY87" s="62"/>
      <c r="AZ87" s="62"/>
      <c r="BA87" s="62"/>
      <c r="BB87" s="62"/>
      <c r="BC87" s="62"/>
      <c r="BD87" s="62"/>
      <c r="BE87" s="62"/>
      <c r="BF87" s="62"/>
      <c r="BG87" s="62"/>
      <c r="BH87" s="62"/>
      <c r="BI87" s="62"/>
    </row>
    <row r="88" spans="18:61" ht="12.75" hidden="1">
      <c r="R88" s="29"/>
      <c r="S88" s="29"/>
      <c r="T88" s="29"/>
      <c r="U88" s="29"/>
      <c r="Y88" s="62" t="str">
        <f>TRIM(AE81&amp;" "&amp;AF81&amp;" "&amp;AG81&amp;" "&amp;AH81&amp;" "&amp;AI81)</f>
        <v>Fifteen</v>
      </c>
      <c r="Z88" s="62"/>
      <c r="AA88" s="62"/>
      <c r="AB88" s="62"/>
      <c r="AC88" s="62"/>
      <c r="AD88" s="62"/>
      <c r="AE88" s="62"/>
      <c r="AF88" s="62"/>
      <c r="AG88" s="62"/>
      <c r="AH88" s="62"/>
      <c r="AI88" s="62"/>
      <c r="AJ88" s="62"/>
      <c r="AK88" s="62"/>
      <c r="AL88" s="62">
        <v>12</v>
      </c>
      <c r="AM88" s="62" t="s">
        <v>57</v>
      </c>
      <c r="AN88" s="62"/>
      <c r="AO88" s="29"/>
      <c r="AP88" s="62"/>
      <c r="AQ88" s="62"/>
      <c r="AR88" s="62"/>
      <c r="AS88" s="62"/>
      <c r="AT88" s="62"/>
      <c r="AU88" s="62"/>
      <c r="AV88" s="62"/>
      <c r="AW88" s="62"/>
      <c r="AX88" s="62"/>
      <c r="AY88" s="62"/>
      <c r="AZ88" s="62"/>
      <c r="BA88" s="62"/>
      <c r="BB88" s="62"/>
      <c r="BC88" s="62"/>
      <c r="BD88" s="62"/>
      <c r="BE88" s="62"/>
      <c r="BF88" s="62"/>
      <c r="BG88" s="62"/>
      <c r="BH88" s="62"/>
      <c r="BI88" s="62"/>
    </row>
    <row r="89" spans="18:61" ht="12.75" hidden="1">
      <c r="R89" s="29"/>
      <c r="S89" s="29"/>
      <c r="T89" s="29"/>
      <c r="U89" s="29"/>
      <c r="Y89" s="62" t="str">
        <f>IF(Y77&gt;0,TRIM(Y85&amp;" "&amp;Y86&amp;" "&amp;Y87&amp;" "&amp;Y88)&amp;" Rupees only","Zero only")</f>
        <v>Four thousand Eight hundred Fifteen Rupees only</v>
      </c>
      <c r="Z89" s="62"/>
      <c r="AA89" s="62"/>
      <c r="AB89" s="62"/>
      <c r="AC89" s="62"/>
      <c r="AD89" s="62"/>
      <c r="AE89" s="62"/>
      <c r="AF89" s="62"/>
      <c r="AG89" s="62"/>
      <c r="AH89" s="62"/>
      <c r="AI89" s="62"/>
      <c r="AJ89" s="62"/>
      <c r="AK89" s="62"/>
      <c r="AL89" s="62">
        <v>13</v>
      </c>
      <c r="AM89" s="62" t="s">
        <v>58</v>
      </c>
      <c r="AN89" s="62"/>
      <c r="AO89" s="29"/>
      <c r="AP89" s="62"/>
      <c r="AQ89" s="62"/>
      <c r="AR89" s="62"/>
      <c r="AS89" s="62"/>
      <c r="AT89" s="62"/>
      <c r="AU89" s="62"/>
      <c r="AV89" s="62"/>
      <c r="AW89" s="62"/>
      <c r="AX89" s="62"/>
      <c r="AY89" s="62"/>
      <c r="AZ89" s="62"/>
      <c r="BA89" s="62"/>
      <c r="BB89" s="62"/>
      <c r="BC89" s="62"/>
      <c r="BD89" s="62"/>
      <c r="BE89" s="62"/>
      <c r="BF89" s="62"/>
      <c r="BG89" s="62"/>
      <c r="BH89" s="62"/>
      <c r="BI89" s="62"/>
    </row>
    <row r="90" spans="18:61" ht="12.75" hidden="1">
      <c r="R90" s="29"/>
      <c r="S90" s="29"/>
      <c r="T90" s="29"/>
      <c r="U90" s="29"/>
      <c r="Y90" s="62"/>
      <c r="Z90" s="62"/>
      <c r="AA90" s="62"/>
      <c r="AB90" s="62"/>
      <c r="AC90" s="62"/>
      <c r="AD90" s="62"/>
      <c r="AE90" s="62"/>
      <c r="AF90" s="62"/>
      <c r="AG90" s="62"/>
      <c r="AH90" s="62"/>
      <c r="AI90" s="62"/>
      <c r="AJ90" s="62"/>
      <c r="AK90" s="62"/>
      <c r="AL90" s="62">
        <v>14</v>
      </c>
      <c r="AM90" s="62" t="s">
        <v>59</v>
      </c>
      <c r="AN90" s="62"/>
      <c r="AO90" s="29"/>
      <c r="AP90" s="62"/>
      <c r="AQ90" s="62"/>
      <c r="AR90" s="62"/>
      <c r="AS90" s="62"/>
      <c r="AT90" s="62"/>
      <c r="AU90" s="62"/>
      <c r="AV90" s="62"/>
      <c r="AW90" s="62"/>
      <c r="AX90" s="62"/>
      <c r="AY90" s="62"/>
      <c r="AZ90" s="62"/>
      <c r="BA90" s="62"/>
      <c r="BB90" s="62"/>
      <c r="BC90" s="62"/>
      <c r="BD90" s="62"/>
      <c r="BE90" s="62"/>
      <c r="BF90" s="62"/>
      <c r="BG90" s="62"/>
      <c r="BH90" s="62"/>
      <c r="BI90" s="62"/>
    </row>
    <row r="91" spans="18:61" ht="12.75" hidden="1">
      <c r="R91" s="29"/>
      <c r="S91" s="29"/>
      <c r="T91" s="29"/>
      <c r="U91" s="29"/>
      <c r="Y91" s="62"/>
      <c r="Z91" s="62"/>
      <c r="AA91" s="62"/>
      <c r="AB91" s="62"/>
      <c r="AC91" s="62"/>
      <c r="AD91" s="62"/>
      <c r="AE91" s="62"/>
      <c r="AF91" s="62"/>
      <c r="AG91" s="62"/>
      <c r="AH91" s="62"/>
      <c r="AI91" s="62"/>
      <c r="AJ91" s="62"/>
      <c r="AK91" s="62"/>
      <c r="AL91" s="62">
        <v>15</v>
      </c>
      <c r="AM91" s="62" t="s">
        <v>60</v>
      </c>
      <c r="AN91" s="62"/>
      <c r="AO91" s="29"/>
      <c r="AP91" s="62"/>
      <c r="AQ91" s="62"/>
      <c r="AR91" s="62"/>
      <c r="AS91" s="62"/>
      <c r="AT91" s="62"/>
      <c r="AU91" s="62"/>
      <c r="AV91" s="62"/>
      <c r="AW91" s="62"/>
      <c r="AX91" s="62"/>
      <c r="AY91" s="62"/>
      <c r="AZ91" s="62"/>
      <c r="BA91" s="62"/>
      <c r="BB91" s="62"/>
      <c r="BC91" s="62"/>
      <c r="BD91" s="62"/>
      <c r="BE91" s="62"/>
      <c r="BF91" s="62"/>
      <c r="BG91" s="62"/>
      <c r="BH91" s="62"/>
      <c r="BI91" s="62"/>
    </row>
    <row r="92" spans="18:61" ht="12.75" hidden="1">
      <c r="R92" s="29"/>
      <c r="S92" s="29"/>
      <c r="T92" s="29"/>
      <c r="U92" s="29"/>
      <c r="Y92" s="62"/>
      <c r="Z92" s="62"/>
      <c r="AA92" s="62"/>
      <c r="AB92" s="62"/>
      <c r="AC92" s="62"/>
      <c r="AD92" s="62"/>
      <c r="AE92" s="62"/>
      <c r="AF92" s="62"/>
      <c r="AG92" s="62"/>
      <c r="AH92" s="62"/>
      <c r="AI92" s="62"/>
      <c r="AJ92" s="62"/>
      <c r="AK92" s="62"/>
      <c r="AL92" s="62">
        <v>16</v>
      </c>
      <c r="AM92" s="62" t="s">
        <v>61</v>
      </c>
      <c r="AN92" s="62"/>
      <c r="AO92" s="29"/>
      <c r="AP92" s="62"/>
      <c r="AQ92" s="62"/>
      <c r="AR92" s="62"/>
      <c r="AS92" s="62"/>
      <c r="AT92" s="62"/>
      <c r="AU92" s="62"/>
      <c r="AV92" s="62"/>
      <c r="AW92" s="62"/>
      <c r="AX92" s="62"/>
      <c r="AY92" s="62"/>
      <c r="AZ92" s="62"/>
      <c r="BA92" s="62"/>
      <c r="BB92" s="62"/>
      <c r="BC92" s="62"/>
      <c r="BD92" s="62"/>
      <c r="BE92" s="62"/>
      <c r="BF92" s="62"/>
      <c r="BG92" s="62"/>
      <c r="BH92" s="62"/>
      <c r="BI92" s="62"/>
    </row>
    <row r="93" spans="18:61" ht="12.75" hidden="1">
      <c r="R93" s="29"/>
      <c r="S93" s="29"/>
      <c r="T93" s="29"/>
      <c r="U93" s="29"/>
      <c r="Y93" s="62"/>
      <c r="Z93" s="62"/>
      <c r="AA93" s="62"/>
      <c r="AB93" s="62"/>
      <c r="AC93" s="62"/>
      <c r="AD93" s="62"/>
      <c r="AE93" s="62"/>
      <c r="AF93" s="62"/>
      <c r="AG93" s="62"/>
      <c r="AH93" s="62"/>
      <c r="AI93" s="62"/>
      <c r="AJ93" s="62"/>
      <c r="AK93" s="62"/>
      <c r="AL93" s="62">
        <v>17</v>
      </c>
      <c r="AM93" s="62" t="s">
        <v>62</v>
      </c>
      <c r="AN93" s="62"/>
      <c r="AO93" s="29"/>
      <c r="AP93" s="62"/>
      <c r="AQ93" s="62"/>
      <c r="AR93" s="62"/>
      <c r="AS93" s="62"/>
      <c r="AT93" s="62"/>
      <c r="AU93" s="62"/>
      <c r="AV93" s="62"/>
      <c r="AW93" s="62"/>
      <c r="AX93" s="62"/>
      <c r="AY93" s="62"/>
      <c r="AZ93" s="62"/>
      <c r="BA93" s="62"/>
      <c r="BB93" s="62"/>
      <c r="BC93" s="62"/>
      <c r="BD93" s="62"/>
      <c r="BE93" s="62"/>
      <c r="BF93" s="62"/>
      <c r="BG93" s="62"/>
      <c r="BH93" s="62"/>
      <c r="BI93" s="62"/>
    </row>
    <row r="94" spans="18:61" ht="12.75" hidden="1">
      <c r="R94" s="29"/>
      <c r="S94" s="29"/>
      <c r="T94" s="29"/>
      <c r="U94" s="29"/>
      <c r="Y94" s="62"/>
      <c r="Z94" s="62"/>
      <c r="AA94" s="62"/>
      <c r="AB94" s="62"/>
      <c r="AC94" s="62"/>
      <c r="AD94" s="62"/>
      <c r="AE94" s="62"/>
      <c r="AF94" s="62"/>
      <c r="AG94" s="62"/>
      <c r="AH94" s="62"/>
      <c r="AI94" s="62"/>
      <c r="AJ94" s="62"/>
      <c r="AK94" s="62"/>
      <c r="AL94" s="62">
        <v>18</v>
      </c>
      <c r="AM94" s="62" t="s">
        <v>63</v>
      </c>
      <c r="AN94" s="62"/>
      <c r="AO94" s="29"/>
      <c r="AP94" s="62"/>
      <c r="AQ94" s="62"/>
      <c r="AR94" s="62"/>
      <c r="AS94" s="62"/>
      <c r="AT94" s="62"/>
      <c r="AU94" s="62"/>
      <c r="AV94" s="62"/>
      <c r="AW94" s="62"/>
      <c r="AX94" s="62"/>
      <c r="AY94" s="62"/>
      <c r="AZ94" s="62"/>
      <c r="BA94" s="62"/>
      <c r="BB94" s="62"/>
      <c r="BC94" s="62"/>
      <c r="BD94" s="62"/>
      <c r="BE94" s="62"/>
      <c r="BF94" s="62"/>
      <c r="BG94" s="62"/>
      <c r="BH94" s="62"/>
      <c r="BI94" s="62"/>
    </row>
    <row r="95" spans="18:61" ht="12.75" hidden="1">
      <c r="R95" s="29"/>
      <c r="S95" s="29"/>
      <c r="T95" s="29"/>
      <c r="U95" s="29"/>
      <c r="Y95" s="62"/>
      <c r="Z95" s="62"/>
      <c r="AA95" s="62"/>
      <c r="AB95" s="62"/>
      <c r="AC95" s="62"/>
      <c r="AD95" s="62"/>
      <c r="AE95" s="62"/>
      <c r="AF95" s="62"/>
      <c r="AG95" s="62"/>
      <c r="AH95" s="62"/>
      <c r="AI95" s="62"/>
      <c r="AJ95" s="62"/>
      <c r="AK95" s="62"/>
      <c r="AL95" s="62">
        <v>19</v>
      </c>
      <c r="AM95" s="62" t="s">
        <v>64</v>
      </c>
      <c r="AN95" s="62"/>
      <c r="AO95" s="29"/>
      <c r="AP95" s="62"/>
      <c r="AQ95" s="62"/>
      <c r="AR95" s="62"/>
      <c r="AS95" s="62"/>
      <c r="AT95" s="62"/>
      <c r="AU95" s="62"/>
      <c r="AV95" s="62"/>
      <c r="AW95" s="62"/>
      <c r="AX95" s="62"/>
      <c r="AY95" s="62"/>
      <c r="AZ95" s="62"/>
      <c r="BA95" s="62"/>
      <c r="BB95" s="62"/>
      <c r="BC95" s="62"/>
      <c r="BD95" s="62"/>
      <c r="BE95" s="62"/>
      <c r="BF95" s="62"/>
      <c r="BG95" s="62"/>
      <c r="BH95" s="62"/>
      <c r="BI95" s="62"/>
    </row>
    <row r="96" spans="18:61" ht="12.75" hidden="1">
      <c r="R96" s="29"/>
      <c r="S96" s="29"/>
      <c r="T96" s="29"/>
      <c r="U96" s="29"/>
      <c r="Y96" s="62"/>
      <c r="Z96" s="62"/>
      <c r="AA96" s="62"/>
      <c r="AB96" s="62"/>
      <c r="AC96" s="62"/>
      <c r="AD96" s="62"/>
      <c r="AE96" s="62"/>
      <c r="AF96" s="62"/>
      <c r="AG96" s="62"/>
      <c r="AH96" s="62"/>
      <c r="AI96" s="62"/>
      <c r="AJ96" s="62"/>
      <c r="AK96" s="62"/>
      <c r="AL96" s="62">
        <v>20</v>
      </c>
      <c r="AM96" s="62" t="s">
        <v>40</v>
      </c>
      <c r="AN96" s="62"/>
      <c r="AO96" s="29"/>
      <c r="AP96" s="62"/>
      <c r="AQ96" s="62"/>
      <c r="AR96" s="62"/>
      <c r="AS96" s="62"/>
      <c r="AT96" s="62"/>
      <c r="AU96" s="62"/>
      <c r="AV96" s="62"/>
      <c r="AW96" s="62"/>
      <c r="AX96" s="62"/>
      <c r="AY96" s="62"/>
      <c r="AZ96" s="62"/>
      <c r="BA96" s="62"/>
      <c r="BB96" s="62"/>
      <c r="BC96" s="62"/>
      <c r="BD96" s="62"/>
      <c r="BE96" s="62"/>
      <c r="BF96" s="62"/>
      <c r="BG96" s="62"/>
      <c r="BH96" s="62"/>
      <c r="BI96" s="62"/>
    </row>
    <row r="97" spans="18:61" ht="12.75" hidden="1">
      <c r="R97" s="29"/>
      <c r="S97" s="29"/>
      <c r="T97" s="29"/>
      <c r="U97" s="29"/>
      <c r="Y97" s="62"/>
      <c r="Z97" s="62"/>
      <c r="AA97" s="62"/>
      <c r="AB97" s="62"/>
      <c r="AC97" s="62"/>
      <c r="AD97" s="62"/>
      <c r="AE97" s="62"/>
      <c r="AF97" s="62"/>
      <c r="AG97" s="62"/>
      <c r="AH97" s="62"/>
      <c r="AI97" s="62"/>
      <c r="AJ97" s="62"/>
      <c r="AK97" s="62"/>
      <c r="AL97" s="62">
        <v>30</v>
      </c>
      <c r="AM97" s="62" t="s">
        <v>42</v>
      </c>
      <c r="AN97" s="62"/>
      <c r="AO97" s="29"/>
      <c r="AP97" s="62"/>
      <c r="AQ97" s="62"/>
      <c r="AR97" s="62"/>
      <c r="AS97" s="62"/>
      <c r="AT97" s="62"/>
      <c r="AU97" s="62"/>
      <c r="AV97" s="62"/>
      <c r="AW97" s="62"/>
      <c r="AX97" s="62"/>
      <c r="AY97" s="62"/>
      <c r="AZ97" s="62"/>
      <c r="BA97" s="62"/>
      <c r="BB97" s="62"/>
      <c r="BC97" s="62"/>
      <c r="BD97" s="62"/>
      <c r="BE97" s="62"/>
      <c r="BF97" s="62"/>
      <c r="BG97" s="62"/>
      <c r="BH97" s="62"/>
      <c r="BI97" s="62"/>
    </row>
    <row r="98" spans="18:61" ht="12.75" hidden="1">
      <c r="R98" s="29"/>
      <c r="S98" s="29"/>
      <c r="T98" s="29"/>
      <c r="U98" s="29"/>
      <c r="Y98" s="62"/>
      <c r="Z98" s="62"/>
      <c r="AA98" s="62"/>
      <c r="AB98" s="62"/>
      <c r="AC98" s="62"/>
      <c r="AD98" s="62"/>
      <c r="AE98" s="62"/>
      <c r="AF98" s="62"/>
      <c r="AG98" s="62"/>
      <c r="AH98" s="62"/>
      <c r="AI98" s="62"/>
      <c r="AJ98" s="62"/>
      <c r="AK98" s="62"/>
      <c r="AL98" s="62">
        <v>40</v>
      </c>
      <c r="AM98" s="62" t="s">
        <v>44</v>
      </c>
      <c r="AN98" s="62"/>
      <c r="AO98" s="29"/>
      <c r="AP98" s="62"/>
      <c r="AQ98" s="62"/>
      <c r="AR98" s="62"/>
      <c r="AS98" s="62"/>
      <c r="AT98" s="62"/>
      <c r="AU98" s="62"/>
      <c r="AV98" s="62"/>
      <c r="AW98" s="62"/>
      <c r="AX98" s="62"/>
      <c r="AY98" s="62"/>
      <c r="AZ98" s="62"/>
      <c r="BA98" s="62"/>
      <c r="BB98" s="62"/>
      <c r="BC98" s="62"/>
      <c r="BD98" s="62"/>
      <c r="BE98" s="62"/>
      <c r="BF98" s="62"/>
      <c r="BG98" s="62"/>
      <c r="BH98" s="62"/>
      <c r="BI98" s="62"/>
    </row>
    <row r="99" spans="18:61" ht="12.75" hidden="1">
      <c r="R99" s="29"/>
      <c r="S99" s="29"/>
      <c r="T99" s="29"/>
      <c r="U99" s="29"/>
      <c r="Y99" s="62"/>
      <c r="Z99" s="62"/>
      <c r="AA99" s="62"/>
      <c r="AB99" s="62"/>
      <c r="AC99" s="62"/>
      <c r="AD99" s="62"/>
      <c r="AE99" s="62"/>
      <c r="AF99" s="62"/>
      <c r="AG99" s="62"/>
      <c r="AH99" s="62"/>
      <c r="AI99" s="62"/>
      <c r="AJ99" s="62"/>
      <c r="AK99" s="62"/>
      <c r="AL99" s="62">
        <v>50</v>
      </c>
      <c r="AM99" s="62" t="s">
        <v>46</v>
      </c>
      <c r="AN99" s="62"/>
      <c r="AO99" s="29"/>
      <c r="AP99" s="62"/>
      <c r="AQ99" s="62"/>
      <c r="AR99" s="62"/>
      <c r="AS99" s="62"/>
      <c r="AT99" s="62"/>
      <c r="AU99" s="62"/>
      <c r="AV99" s="62"/>
      <c r="AW99" s="62"/>
      <c r="AX99" s="62"/>
      <c r="AY99" s="62"/>
      <c r="AZ99" s="62"/>
      <c r="BA99" s="62"/>
      <c r="BB99" s="62"/>
      <c r="BC99" s="62"/>
      <c r="BD99" s="62"/>
      <c r="BE99" s="62"/>
      <c r="BF99" s="62"/>
      <c r="BG99" s="62"/>
      <c r="BH99" s="62"/>
      <c r="BI99" s="62"/>
    </row>
    <row r="100" spans="18:61" ht="12.75" hidden="1">
      <c r="R100" s="29"/>
      <c r="S100" s="29"/>
      <c r="T100" s="29"/>
      <c r="U100" s="29"/>
      <c r="Y100" s="62"/>
      <c r="Z100" s="62"/>
      <c r="AA100" s="62"/>
      <c r="AB100" s="62"/>
      <c r="AC100" s="62"/>
      <c r="AD100" s="62"/>
      <c r="AE100" s="62"/>
      <c r="AF100" s="62"/>
      <c r="AG100" s="62"/>
      <c r="AH100" s="62"/>
      <c r="AI100" s="62"/>
      <c r="AJ100" s="62"/>
      <c r="AK100" s="62"/>
      <c r="AL100" s="62">
        <v>60</v>
      </c>
      <c r="AM100" s="62" t="s">
        <v>48</v>
      </c>
      <c r="AN100" s="62"/>
      <c r="AO100" s="29"/>
      <c r="AP100" s="62"/>
      <c r="AQ100" s="62"/>
      <c r="AR100" s="62"/>
      <c r="AS100" s="62"/>
      <c r="AT100" s="62"/>
      <c r="AU100" s="62"/>
      <c r="AV100" s="62"/>
      <c r="AW100" s="62"/>
      <c r="AX100" s="62"/>
      <c r="AY100" s="62"/>
      <c r="AZ100" s="62"/>
      <c r="BA100" s="62"/>
      <c r="BB100" s="62"/>
      <c r="BC100" s="62"/>
      <c r="BD100" s="62"/>
      <c r="BE100" s="62"/>
      <c r="BF100" s="62"/>
      <c r="BG100" s="62"/>
      <c r="BH100" s="62"/>
      <c r="BI100" s="62"/>
    </row>
    <row r="101" spans="18:61" ht="12.75" hidden="1">
      <c r="R101" s="29"/>
      <c r="S101" s="29"/>
      <c r="T101" s="29"/>
      <c r="U101" s="29"/>
      <c r="Y101" s="62"/>
      <c r="Z101" s="62"/>
      <c r="AA101" s="62"/>
      <c r="AB101" s="62"/>
      <c r="AC101" s="62"/>
      <c r="AD101" s="62"/>
      <c r="AE101" s="62"/>
      <c r="AF101" s="62"/>
      <c r="AG101" s="62"/>
      <c r="AH101" s="62"/>
      <c r="AI101" s="62"/>
      <c r="AJ101" s="62"/>
      <c r="AK101" s="62"/>
      <c r="AL101" s="62">
        <v>70</v>
      </c>
      <c r="AM101" s="62" t="s">
        <v>50</v>
      </c>
      <c r="AN101" s="62"/>
      <c r="AO101" s="29"/>
      <c r="AP101" s="62"/>
      <c r="AQ101" s="62"/>
      <c r="AR101" s="62"/>
      <c r="AS101" s="62"/>
      <c r="AT101" s="62"/>
      <c r="AU101" s="62"/>
      <c r="AV101" s="62"/>
      <c r="AW101" s="62"/>
      <c r="AX101" s="62"/>
      <c r="AY101" s="62"/>
      <c r="AZ101" s="62"/>
      <c r="BA101" s="62"/>
      <c r="BB101" s="62"/>
      <c r="BC101" s="62"/>
      <c r="BD101" s="62"/>
      <c r="BE101" s="62"/>
      <c r="BF101" s="62"/>
      <c r="BG101" s="62"/>
      <c r="BH101" s="62"/>
      <c r="BI101" s="62"/>
    </row>
    <row r="102" spans="18:61" ht="12.75" hidden="1">
      <c r="R102" s="29"/>
      <c r="S102" s="29"/>
      <c r="T102" s="29"/>
      <c r="U102" s="29"/>
      <c r="Y102" s="62"/>
      <c r="Z102" s="62"/>
      <c r="AA102" s="62"/>
      <c r="AB102" s="62"/>
      <c r="AC102" s="62"/>
      <c r="AD102" s="62"/>
      <c r="AE102" s="62"/>
      <c r="AF102" s="62"/>
      <c r="AG102" s="62"/>
      <c r="AH102" s="62"/>
      <c r="AI102" s="62"/>
      <c r="AJ102" s="62"/>
      <c r="AK102" s="62"/>
      <c r="AL102" s="62">
        <v>80</v>
      </c>
      <c r="AM102" s="62" t="s">
        <v>52</v>
      </c>
      <c r="AN102" s="62"/>
      <c r="AO102" s="29"/>
      <c r="AP102" s="62"/>
      <c r="AQ102" s="62"/>
      <c r="AR102" s="62"/>
      <c r="AS102" s="62"/>
      <c r="AT102" s="62"/>
      <c r="AU102" s="62"/>
      <c r="AV102" s="62"/>
      <c r="AW102" s="62"/>
      <c r="AX102" s="62"/>
      <c r="AY102" s="62"/>
      <c r="AZ102" s="62"/>
      <c r="BA102" s="62"/>
      <c r="BB102" s="62"/>
      <c r="BC102" s="62"/>
      <c r="BD102" s="62"/>
      <c r="BE102" s="62"/>
      <c r="BF102" s="62"/>
      <c r="BG102" s="62"/>
      <c r="BH102" s="62"/>
      <c r="BI102" s="62"/>
    </row>
    <row r="103" spans="18:61" ht="12.75" hidden="1">
      <c r="R103" s="29"/>
      <c r="S103" s="29"/>
      <c r="T103" s="29"/>
      <c r="U103" s="29"/>
      <c r="Y103" s="62"/>
      <c r="Z103" s="62"/>
      <c r="AA103" s="62"/>
      <c r="AB103" s="62"/>
      <c r="AC103" s="62"/>
      <c r="AD103" s="62"/>
      <c r="AE103" s="62"/>
      <c r="AF103" s="62"/>
      <c r="AG103" s="62"/>
      <c r="AH103" s="62"/>
      <c r="AI103" s="62"/>
      <c r="AJ103" s="62"/>
      <c r="AK103" s="62"/>
      <c r="AL103" s="62">
        <v>90</v>
      </c>
      <c r="AM103" s="62" t="s">
        <v>54</v>
      </c>
      <c r="AN103" s="62"/>
      <c r="AO103" s="29"/>
      <c r="AP103" s="62"/>
      <c r="AQ103" s="62"/>
      <c r="AR103" s="62"/>
      <c r="AS103" s="62"/>
      <c r="AT103" s="62"/>
      <c r="AU103" s="62"/>
      <c r="AV103" s="62"/>
      <c r="AW103" s="62"/>
      <c r="AX103" s="62"/>
      <c r="AY103" s="62"/>
      <c r="AZ103" s="62"/>
      <c r="BA103" s="62"/>
      <c r="BB103" s="62"/>
      <c r="BC103" s="62"/>
      <c r="BD103" s="62"/>
      <c r="BE103" s="62"/>
      <c r="BF103" s="62"/>
      <c r="BG103" s="62"/>
      <c r="BH103" s="62"/>
      <c r="BI103" s="62"/>
    </row>
    <row r="104" spans="18:37" ht="12.75" hidden="1">
      <c r="R104" s="29"/>
      <c r="S104" s="29"/>
      <c r="T104" s="29"/>
      <c r="U104" s="29"/>
      <c r="Y104" s="29"/>
      <c r="Z104" s="29"/>
      <c r="AA104" s="29"/>
      <c r="AB104" s="29"/>
      <c r="AC104" s="29"/>
      <c r="AD104" s="29"/>
      <c r="AE104" s="29"/>
      <c r="AF104" s="29"/>
      <c r="AG104" s="29"/>
      <c r="AH104" s="29"/>
      <c r="AI104" s="29"/>
      <c r="AJ104" s="29"/>
      <c r="AK104" s="29"/>
    </row>
    <row r="105" spans="18:40" ht="12.75" hidden="1">
      <c r="R105" s="29"/>
      <c r="S105" s="29"/>
      <c r="T105" s="29"/>
      <c r="U105" s="29"/>
      <c r="Y105" s="194">
        <f>Y77+1</f>
        <v>4816</v>
      </c>
      <c r="Z105" s="62">
        <f>(Y105-Y108)/1000</f>
        <v>4</v>
      </c>
      <c r="AA105" s="62"/>
      <c r="AB105" s="62"/>
      <c r="AC105" s="62"/>
      <c r="AD105" s="62"/>
      <c r="AE105" s="62"/>
      <c r="AF105" s="62"/>
      <c r="AG105" s="62"/>
      <c r="AH105" s="62"/>
      <c r="AI105" s="62"/>
      <c r="AJ105" s="62"/>
      <c r="AK105" s="62"/>
      <c r="AL105" s="62">
        <v>1</v>
      </c>
      <c r="AM105" s="62" t="s">
        <v>38</v>
      </c>
      <c r="AN105" s="62"/>
    </row>
    <row r="106" spans="18:40" ht="12.75" hidden="1">
      <c r="R106" s="29"/>
      <c r="S106" s="29"/>
      <c r="T106" s="29"/>
      <c r="U106" s="29"/>
      <c r="Y106" s="62">
        <f>(Z105-Y107)/100</f>
        <v>0</v>
      </c>
      <c r="Z106" s="62">
        <f>Y106</f>
        <v>0</v>
      </c>
      <c r="AA106" s="62">
        <f>RIGHT(Z106,2)*1</f>
        <v>0</v>
      </c>
      <c r="AB106" s="62">
        <f>(Z106-AA106)/100</f>
        <v>0</v>
      </c>
      <c r="AC106" s="62">
        <f>(AA106-RIGHT(AA106,1)*1)/10</f>
        <v>0</v>
      </c>
      <c r="AD106" s="62">
        <f>RIGHT(Z106,1)*1</f>
        <v>0</v>
      </c>
      <c r="AE106" s="62" t="str">
        <f>IF(AC106=AL106,AN106,IF(AC106=AL107,AN107,IF(AC106=AL108,AN108,IF(AC106=AL109,AN109,IF(AC106=AL110,AN110,IF(AC106=AL111,AN111,IF(AC106=AL112,AN112,IF(AC106=AL113,AN113," "))))))))</f>
        <v> </v>
      </c>
      <c r="AF106" s="62" t="str">
        <f>IF(AC106=1," ",IF(AD106=AL105,AM105,IF(AD106=AL106,AM106,IF(AD106=AL107,AM107,IF(AD106=AL108,AM108,IF(AD106=AL109,AM109,IF(AD106=AL110,AM110," ")))))))</f>
        <v> </v>
      </c>
      <c r="AG106" s="62" t="str">
        <f>IF(AC106=1," ",IF(AD106=AL111,AM111,IF(AD106=AL112,AM112,IF(AD106=AL113,AM113," "))))</f>
        <v> </v>
      </c>
      <c r="AH106" s="62" t="str">
        <f>IF(AC106=0," ",IF(AC106&gt;1," ",IF(AD106=AL106,AM116,IF(AD106=AL107,AM117,IF(AD106=AL108,AM118,IF(AD106=AL109,AM119,IF(AD106=AL110,AM120,IF(AD106=AL111,AM121," "))))))))</f>
        <v> </v>
      </c>
      <c r="AI106" s="62" t="str">
        <f>IF(AC106=0," ",IF(AC106&gt;1," ",IF(AD106=AL112,AM122,IF(AD106=AL113,AM123,IF(AD106=AL105,AM115,IF(AD106=0,AM114," "))))))</f>
        <v> </v>
      </c>
      <c r="AJ106" s="62" t="str">
        <f>IF(AC106=0," ","lakh")</f>
        <v> </v>
      </c>
      <c r="AK106" s="62" t="str">
        <f>IF(AD106=0," ",IF(AC106&gt;0," ","lakh"))</f>
        <v> </v>
      </c>
      <c r="AL106" s="62">
        <v>2</v>
      </c>
      <c r="AM106" s="62" t="s">
        <v>39</v>
      </c>
      <c r="AN106" s="62" t="s">
        <v>40</v>
      </c>
    </row>
    <row r="107" spans="18:40" ht="12.75" hidden="1">
      <c r="R107" s="29"/>
      <c r="S107" s="29"/>
      <c r="T107" s="29"/>
      <c r="U107" s="29"/>
      <c r="Y107" s="62">
        <f>RIGHT(Z105,2)*1</f>
        <v>4</v>
      </c>
      <c r="Z107" s="62">
        <f>Y107</f>
        <v>4</v>
      </c>
      <c r="AA107" s="62">
        <f>RIGHT(Z107,2)*1</f>
        <v>4</v>
      </c>
      <c r="AB107" s="62">
        <f>(Z107-AA107)/100</f>
        <v>0</v>
      </c>
      <c r="AC107" s="62">
        <f>(AA107-RIGHT(AA107,1)*1)/10</f>
        <v>0</v>
      </c>
      <c r="AD107" s="62">
        <f>RIGHT(Z107,1)*1</f>
        <v>4</v>
      </c>
      <c r="AE107" s="62" t="str">
        <f>IF(AC107=AL106,AN106,IF(AC107=AL107,AN107,IF(AC107=AL108,AN108,IF(AC107=AL109,AN109,IF(AC107=AL110,AN110,IF(AC107=AL111,AN111,IF(AC107=AL112,AN112,IF(AC107=AL113,AN113," "))))))))</f>
        <v> </v>
      </c>
      <c r="AF107" s="62" t="str">
        <f>IF(AC107=1," ",IF(AD107=AL105,AM105,IF(AD107=AL106,AM106,IF(AD107=AL107,AM107,IF(AD107=AL108,AM108,IF(AD107=AL109,AM109,IF(AD107=AL110,AM110," ")))))))</f>
        <v>Four</v>
      </c>
      <c r="AG107" s="62" t="str">
        <f>IF(AC107=1," ",IF(AD107=AL111,AM111,IF(AD107=AL112,AM112,IF(AD107=AL113,AM113," "))))</f>
        <v> </v>
      </c>
      <c r="AH107" s="62" t="str">
        <f>IF(AC107=0," ",IF(AC107&gt;1," ",IF(AD107=AL106,AM116,IF(AD107=AL107,AM117,IF(AD107=AL108,AM118,IF(AD107=AL109,AM119,IF(AD107=AL110,AM120,IF(AD107=AL111,AM121," "))))))))</f>
        <v> </v>
      </c>
      <c r="AI107" s="62" t="str">
        <f>IF(AC107=0," ",IF(AC107&gt;1," ",IF(AD107=AL112,AM122,IF(AD107=AL113,AM123,IF(AD107=AL105,AM115,IF(AD107=0,AM114," "))))))</f>
        <v> </v>
      </c>
      <c r="AJ107" s="62" t="str">
        <f>IF(AC107=0," ","thousand")</f>
        <v> </v>
      </c>
      <c r="AK107" s="62" t="str">
        <f>IF(AD107=0," ",IF(AC107&gt;0," ","thousand"))</f>
        <v>thousand</v>
      </c>
      <c r="AL107" s="62">
        <v>3</v>
      </c>
      <c r="AM107" s="62" t="s">
        <v>41</v>
      </c>
      <c r="AN107" s="62" t="s">
        <v>42</v>
      </c>
    </row>
    <row r="108" spans="18:40" ht="12.75" hidden="1">
      <c r="R108" s="29"/>
      <c r="S108" s="29"/>
      <c r="T108" s="29"/>
      <c r="U108" s="29"/>
      <c r="Y108" s="62">
        <f>RIGHT(Y105,3)*1</f>
        <v>816</v>
      </c>
      <c r="Z108" s="62">
        <f>Y108</f>
        <v>816</v>
      </c>
      <c r="AA108" s="62">
        <f>ROUND((Z108-AB109)/100,0)</f>
        <v>8</v>
      </c>
      <c r="AB108" s="62"/>
      <c r="AC108" s="62"/>
      <c r="AD108" s="62"/>
      <c r="AE108" s="62"/>
      <c r="AF108" s="62" t="str">
        <f>IF(AA108=0," ",IF(AA108=AL105,AM105,IF(AA108=AL106,AM106,IF(AA108=AL107,AM107,IF(AA108=AL108,AM108,IF(AA108=AL109,AM109,IF(AA108=AL110,AM110," ")))))))</f>
        <v> </v>
      </c>
      <c r="AG108" s="62" t="str">
        <f>IF(AA108=0," ",IF(AA108=AL111,AM111,IF(AA108=AL112,AM112,IF(AA108=AL113,AM113," "))))</f>
        <v>Eight</v>
      </c>
      <c r="AH108" s="62"/>
      <c r="AI108" s="62"/>
      <c r="AJ108" s="62" t="str">
        <f>IF(AA108=0," ","hundred")</f>
        <v>hundred</v>
      </c>
      <c r="AK108" s="62"/>
      <c r="AL108" s="62">
        <v>4</v>
      </c>
      <c r="AM108" s="62" t="s">
        <v>43</v>
      </c>
      <c r="AN108" s="62" t="s">
        <v>44</v>
      </c>
    </row>
    <row r="109" spans="18:40" ht="12.75" hidden="1">
      <c r="R109" s="29"/>
      <c r="S109" s="29"/>
      <c r="T109" s="29"/>
      <c r="U109" s="29"/>
      <c r="Y109" s="62"/>
      <c r="Z109" s="62"/>
      <c r="AA109" s="62"/>
      <c r="AB109" s="62">
        <f>RIGHT(Z108,2)*1</f>
        <v>16</v>
      </c>
      <c r="AC109" s="62">
        <f>(AB109-RIGHT(AB109,1)*1)/10</f>
        <v>1</v>
      </c>
      <c r="AD109" s="62">
        <f>RIGHT(Z108,1)*1</f>
        <v>6</v>
      </c>
      <c r="AE109" s="62" t="str">
        <f>IF(AC109=AL106,AN106,IF(AC109=AL107,AN107,IF(AC109=AL108,AN108,IF(AC109=AL109,AN109,IF(AC109=AL110,AN110,IF(AC109=AL111,AN111,IF(AC109=AL112,AN112,IF(AC109=AL113,AN113," "))))))))</f>
        <v> </v>
      </c>
      <c r="AF109" s="62" t="str">
        <f>IF(AC109=1," ",IF(AD109=AL105,AM105,IF(AD109=AL106,AM106,IF(AD109=AL107,AM107,IF(AD109=AL108,AM108,IF(AD109=AL109,AM109,IF(AD109=AL110,AM110," ")))))))</f>
        <v> </v>
      </c>
      <c r="AG109" s="62" t="str">
        <f>IF(AC109=1," ",IF(AD109=AL111,AM111,IF(AD109=AL112,AM112,IF(AD109=AL113,AM113," "))))</f>
        <v> </v>
      </c>
      <c r="AH109" s="62" t="str">
        <f>IF(AC109=0," ",IF(AC109&gt;1," ",IF(AD109=AL106,AM116,IF(AD109=AL107,AM117,IF(AD109=AL108,AM118,IF(AD109=AL109,AM119,IF(AD109=AL110,AM120,IF(AD109=AL111,AM121," "))))))))</f>
        <v>Sixteen</v>
      </c>
      <c r="AI109" s="62" t="str">
        <f>IF(AC109=0," ",IF(AC109&gt;1," ",IF(AD109=AL112,AM122,IF(AD109=AL113,AM123,IF(AD109=AL105,AM115,IF(AD109=0,AM114," "))))))</f>
        <v> </v>
      </c>
      <c r="AJ109" s="62"/>
      <c r="AK109" s="62"/>
      <c r="AL109" s="62">
        <v>5</v>
      </c>
      <c r="AM109" s="62" t="s">
        <v>45</v>
      </c>
      <c r="AN109" s="62" t="s">
        <v>46</v>
      </c>
    </row>
    <row r="110" spans="18:40" ht="12.75" hidden="1">
      <c r="R110" s="29"/>
      <c r="S110" s="29"/>
      <c r="T110" s="29"/>
      <c r="U110" s="29"/>
      <c r="Y110" s="62"/>
      <c r="Z110" s="62"/>
      <c r="AA110" s="62"/>
      <c r="AB110" s="62"/>
      <c r="AC110" s="62">
        <f>AC109</f>
        <v>1</v>
      </c>
      <c r="AD110" s="62">
        <f>AD109</f>
        <v>6</v>
      </c>
      <c r="AE110" s="62"/>
      <c r="AF110" s="62"/>
      <c r="AG110" s="62"/>
      <c r="AH110" s="62"/>
      <c r="AI110" s="62"/>
      <c r="AJ110" s="62"/>
      <c r="AK110" s="62"/>
      <c r="AL110" s="62">
        <v>6</v>
      </c>
      <c r="AM110" s="62" t="s">
        <v>47</v>
      </c>
      <c r="AN110" s="62" t="s">
        <v>48</v>
      </c>
    </row>
    <row r="111" spans="18:40" ht="12.75" hidden="1">
      <c r="R111" s="29"/>
      <c r="S111" s="29"/>
      <c r="T111" s="29"/>
      <c r="U111" s="29"/>
      <c r="Y111" s="62"/>
      <c r="Z111" s="62"/>
      <c r="AA111" s="62"/>
      <c r="AB111" s="62"/>
      <c r="AC111" s="62"/>
      <c r="AD111" s="62"/>
      <c r="AE111" s="62"/>
      <c r="AF111" s="62"/>
      <c r="AG111" s="62"/>
      <c r="AH111" s="62"/>
      <c r="AI111" s="62"/>
      <c r="AJ111" s="62"/>
      <c r="AK111" s="62"/>
      <c r="AL111" s="62">
        <v>7</v>
      </c>
      <c r="AM111" s="62" t="s">
        <v>49</v>
      </c>
      <c r="AN111" s="62" t="s">
        <v>50</v>
      </c>
    </row>
    <row r="112" spans="18:40" ht="12.75" hidden="1">
      <c r="R112" s="29"/>
      <c r="S112" s="29"/>
      <c r="T112" s="29"/>
      <c r="U112" s="29"/>
      <c r="Y112" s="62"/>
      <c r="Z112" s="62"/>
      <c r="AA112" s="62"/>
      <c r="AB112" s="62"/>
      <c r="AC112" s="62"/>
      <c r="AD112" s="62"/>
      <c r="AE112" s="62"/>
      <c r="AF112" s="62"/>
      <c r="AG112" s="62"/>
      <c r="AH112" s="62"/>
      <c r="AI112" s="62"/>
      <c r="AJ112" s="62"/>
      <c r="AK112" s="62"/>
      <c r="AL112" s="62">
        <v>8</v>
      </c>
      <c r="AM112" s="62" t="s">
        <v>51</v>
      </c>
      <c r="AN112" s="62" t="s">
        <v>52</v>
      </c>
    </row>
    <row r="113" spans="18:40" ht="12.75" hidden="1">
      <c r="R113" s="29"/>
      <c r="S113" s="29"/>
      <c r="T113" s="29"/>
      <c r="U113" s="29"/>
      <c r="Y113" s="62">
        <f>TRIM(AE106&amp;" "&amp;AF106&amp;" "&amp;AG106&amp;" "&amp;AH106&amp;" "&amp;AI106&amp;" "&amp;AJ106&amp;" "&amp;AK106)</f>
      </c>
      <c r="Z113" s="62"/>
      <c r="AA113" s="62"/>
      <c r="AB113" s="62"/>
      <c r="AC113" s="62"/>
      <c r="AD113" s="62"/>
      <c r="AE113" s="62"/>
      <c r="AF113" s="62"/>
      <c r="AG113" s="62"/>
      <c r="AH113" s="62"/>
      <c r="AI113" s="62"/>
      <c r="AJ113" s="62"/>
      <c r="AK113" s="62"/>
      <c r="AL113" s="62">
        <v>9</v>
      </c>
      <c r="AM113" s="62" t="s">
        <v>53</v>
      </c>
      <c r="AN113" s="62" t="s">
        <v>54</v>
      </c>
    </row>
    <row r="114" spans="18:40" ht="12.75" hidden="1">
      <c r="R114" s="29"/>
      <c r="S114" s="29"/>
      <c r="T114" s="29"/>
      <c r="U114" s="29"/>
      <c r="Y114" s="62" t="str">
        <f>TRIM(AE107&amp;" "&amp;AF107&amp;" "&amp;AG107&amp;" "&amp;AH107&amp;" "&amp;AI107&amp;" "&amp;AJ107&amp;" "&amp;AK107)</f>
        <v>Four thousand</v>
      </c>
      <c r="Z114" s="62"/>
      <c r="AA114" s="62"/>
      <c r="AB114" s="62"/>
      <c r="AC114" s="62"/>
      <c r="AD114" s="62"/>
      <c r="AE114" s="62"/>
      <c r="AF114" s="62"/>
      <c r="AG114" s="62"/>
      <c r="AH114" s="62"/>
      <c r="AI114" s="62"/>
      <c r="AJ114" s="62"/>
      <c r="AK114" s="62"/>
      <c r="AL114" s="62">
        <v>10</v>
      </c>
      <c r="AM114" s="62" t="s">
        <v>55</v>
      </c>
      <c r="AN114" s="62"/>
    </row>
    <row r="115" spans="18:40" ht="12.75" hidden="1">
      <c r="R115" s="29"/>
      <c r="S115" s="29"/>
      <c r="T115" s="29"/>
      <c r="U115" s="29"/>
      <c r="Y115" s="62" t="str">
        <f>TRIM(AE108&amp;" "&amp;AF108&amp;" "&amp;AG108&amp;" "&amp;AH108&amp;" "&amp;AI108&amp;" "&amp;AJ108&amp;" "&amp;AK108)</f>
        <v>Eight hundred</v>
      </c>
      <c r="Z115" s="62"/>
      <c r="AA115" s="62"/>
      <c r="AB115" s="62"/>
      <c r="AC115" s="62"/>
      <c r="AD115" s="62"/>
      <c r="AE115" s="62"/>
      <c r="AF115" s="62"/>
      <c r="AG115" s="62"/>
      <c r="AH115" s="62"/>
      <c r="AI115" s="62"/>
      <c r="AJ115" s="62"/>
      <c r="AK115" s="62"/>
      <c r="AL115" s="62">
        <v>11</v>
      </c>
      <c r="AM115" s="62" t="s">
        <v>56</v>
      </c>
      <c r="AN115" s="62"/>
    </row>
    <row r="116" spans="18:40" ht="12.75" hidden="1">
      <c r="R116" s="29"/>
      <c r="S116" s="29"/>
      <c r="T116" s="29"/>
      <c r="U116" s="29"/>
      <c r="Y116" s="62" t="str">
        <f>TRIM(AE109&amp;" "&amp;AF109&amp;" "&amp;AG109&amp;" "&amp;AH109&amp;" "&amp;AI109)</f>
        <v>Sixteen</v>
      </c>
      <c r="Z116" s="62"/>
      <c r="AA116" s="62"/>
      <c r="AB116" s="62"/>
      <c r="AC116" s="62"/>
      <c r="AD116" s="62"/>
      <c r="AE116" s="62"/>
      <c r="AF116" s="62"/>
      <c r="AG116" s="62"/>
      <c r="AH116" s="62"/>
      <c r="AI116" s="62"/>
      <c r="AJ116" s="62"/>
      <c r="AK116" s="62"/>
      <c r="AL116" s="62">
        <v>12</v>
      </c>
      <c r="AM116" s="62" t="s">
        <v>57</v>
      </c>
      <c r="AN116" s="62"/>
    </row>
    <row r="117" spans="18:40" ht="12.75" hidden="1">
      <c r="R117" s="29"/>
      <c r="S117" s="29"/>
      <c r="T117" s="29"/>
      <c r="U117" s="29"/>
      <c r="Y117" s="62" t="str">
        <f>IF(Y105&gt;0,TRIM(Y113&amp;" "&amp;Y114&amp;" "&amp;Y115&amp;" "&amp;Y116)&amp;" only","Zero only")</f>
        <v>Four thousand Eight hundred Sixteen only</v>
      </c>
      <c r="Z117" s="62"/>
      <c r="AA117" s="62"/>
      <c r="AB117" s="62"/>
      <c r="AC117" s="62"/>
      <c r="AD117" s="62"/>
      <c r="AE117" s="62"/>
      <c r="AF117" s="62"/>
      <c r="AG117" s="62"/>
      <c r="AH117" s="62"/>
      <c r="AI117" s="62"/>
      <c r="AJ117" s="62"/>
      <c r="AK117" s="62"/>
      <c r="AL117" s="62">
        <v>13</v>
      </c>
      <c r="AM117" s="62" t="s">
        <v>58</v>
      </c>
      <c r="AN117" s="62"/>
    </row>
    <row r="118" spans="18:40" ht="12.75" hidden="1">
      <c r="R118" s="29"/>
      <c r="S118" s="29"/>
      <c r="T118" s="29"/>
      <c r="U118" s="29"/>
      <c r="Y118" s="62"/>
      <c r="Z118" s="62"/>
      <c r="AA118" s="62"/>
      <c r="AB118" s="62"/>
      <c r="AC118" s="62"/>
      <c r="AD118" s="62"/>
      <c r="AE118" s="62"/>
      <c r="AF118" s="62"/>
      <c r="AG118" s="62"/>
      <c r="AH118" s="62"/>
      <c r="AI118" s="62"/>
      <c r="AJ118" s="62"/>
      <c r="AK118" s="62"/>
      <c r="AL118" s="62">
        <v>14</v>
      </c>
      <c r="AM118" s="62" t="s">
        <v>59</v>
      </c>
      <c r="AN118" s="62"/>
    </row>
    <row r="119" spans="18:40" ht="12.75" hidden="1">
      <c r="R119" s="29"/>
      <c r="S119" s="29"/>
      <c r="T119" s="29"/>
      <c r="U119" s="29"/>
      <c r="Y119" s="62"/>
      <c r="Z119" s="62"/>
      <c r="AA119" s="62"/>
      <c r="AB119" s="62"/>
      <c r="AC119" s="62"/>
      <c r="AD119" s="62"/>
      <c r="AE119" s="62"/>
      <c r="AF119" s="62"/>
      <c r="AG119" s="62"/>
      <c r="AH119" s="62"/>
      <c r="AI119" s="62"/>
      <c r="AJ119" s="62"/>
      <c r="AK119" s="62"/>
      <c r="AL119" s="62">
        <v>15</v>
      </c>
      <c r="AM119" s="62" t="s">
        <v>60</v>
      </c>
      <c r="AN119" s="62"/>
    </row>
    <row r="120" spans="18:40" ht="12.75" hidden="1">
      <c r="R120" s="29"/>
      <c r="S120" s="29"/>
      <c r="T120" s="29"/>
      <c r="U120" s="29"/>
      <c r="Y120" s="62"/>
      <c r="Z120" s="62"/>
      <c r="AA120" s="62"/>
      <c r="AB120" s="62"/>
      <c r="AC120" s="62"/>
      <c r="AD120" s="62"/>
      <c r="AE120" s="62"/>
      <c r="AF120" s="62"/>
      <c r="AG120" s="62"/>
      <c r="AH120" s="62"/>
      <c r="AI120" s="62"/>
      <c r="AJ120" s="62"/>
      <c r="AK120" s="62"/>
      <c r="AL120" s="62">
        <v>16</v>
      </c>
      <c r="AM120" s="62" t="s">
        <v>61</v>
      </c>
      <c r="AN120" s="62"/>
    </row>
    <row r="121" spans="18:40" ht="12.75" hidden="1">
      <c r="R121" s="29"/>
      <c r="S121" s="29"/>
      <c r="T121" s="29"/>
      <c r="U121" s="29"/>
      <c r="Y121" s="62"/>
      <c r="Z121" s="62"/>
      <c r="AA121" s="62"/>
      <c r="AB121" s="62"/>
      <c r="AC121" s="62"/>
      <c r="AD121" s="62"/>
      <c r="AE121" s="62"/>
      <c r="AF121" s="62"/>
      <c r="AG121" s="62"/>
      <c r="AH121" s="62"/>
      <c r="AI121" s="62"/>
      <c r="AJ121" s="62"/>
      <c r="AK121" s="62"/>
      <c r="AL121" s="62">
        <v>17</v>
      </c>
      <c r="AM121" s="62" t="s">
        <v>62</v>
      </c>
      <c r="AN121" s="62"/>
    </row>
    <row r="122" spans="18:40" ht="12.75" hidden="1">
      <c r="R122" s="29"/>
      <c r="S122" s="29"/>
      <c r="T122" s="29"/>
      <c r="U122" s="29"/>
      <c r="Y122" s="62"/>
      <c r="Z122" s="62"/>
      <c r="AA122" s="62"/>
      <c r="AB122" s="62"/>
      <c r="AC122" s="62"/>
      <c r="AD122" s="62"/>
      <c r="AE122" s="62"/>
      <c r="AF122" s="62"/>
      <c r="AG122" s="62"/>
      <c r="AH122" s="62"/>
      <c r="AI122" s="62"/>
      <c r="AJ122" s="62"/>
      <c r="AK122" s="62"/>
      <c r="AL122" s="62">
        <v>18</v>
      </c>
      <c r="AM122" s="62" t="s">
        <v>63</v>
      </c>
      <c r="AN122" s="62"/>
    </row>
    <row r="123" spans="18:40" ht="12.75" hidden="1">
      <c r="R123" s="29"/>
      <c r="S123" s="29"/>
      <c r="T123" s="29"/>
      <c r="U123" s="29"/>
      <c r="Y123" s="62"/>
      <c r="Z123" s="62"/>
      <c r="AA123" s="62"/>
      <c r="AB123" s="62"/>
      <c r="AC123" s="62"/>
      <c r="AD123" s="62"/>
      <c r="AE123" s="62"/>
      <c r="AF123" s="62"/>
      <c r="AG123" s="62"/>
      <c r="AH123" s="62"/>
      <c r="AI123" s="62"/>
      <c r="AJ123" s="62"/>
      <c r="AK123" s="62"/>
      <c r="AL123" s="62">
        <v>19</v>
      </c>
      <c r="AM123" s="62" t="s">
        <v>64</v>
      </c>
      <c r="AN123" s="62"/>
    </row>
    <row r="124" spans="18:40" ht="12.75" hidden="1">
      <c r="R124" s="29"/>
      <c r="S124" s="29"/>
      <c r="T124" s="29"/>
      <c r="U124" s="29"/>
      <c r="Y124" s="62"/>
      <c r="Z124" s="62"/>
      <c r="AA124" s="62"/>
      <c r="AB124" s="62"/>
      <c r="AC124" s="62"/>
      <c r="AD124" s="62"/>
      <c r="AE124" s="62"/>
      <c r="AF124" s="62"/>
      <c r="AG124" s="62"/>
      <c r="AH124" s="62"/>
      <c r="AI124" s="62"/>
      <c r="AJ124" s="62"/>
      <c r="AK124" s="62"/>
      <c r="AL124" s="62">
        <v>20</v>
      </c>
      <c r="AM124" s="62" t="s">
        <v>40</v>
      </c>
      <c r="AN124" s="62"/>
    </row>
    <row r="125" spans="18:40" ht="12.75" hidden="1">
      <c r="R125" s="29"/>
      <c r="S125" s="29"/>
      <c r="T125" s="29"/>
      <c r="U125" s="29"/>
      <c r="Y125" s="62"/>
      <c r="Z125" s="62"/>
      <c r="AA125" s="62"/>
      <c r="AB125" s="62"/>
      <c r="AC125" s="62"/>
      <c r="AD125" s="62"/>
      <c r="AE125" s="62"/>
      <c r="AF125" s="62"/>
      <c r="AG125" s="62"/>
      <c r="AH125" s="62"/>
      <c r="AI125" s="62"/>
      <c r="AJ125" s="62"/>
      <c r="AK125" s="62"/>
      <c r="AL125" s="62">
        <v>30</v>
      </c>
      <c r="AM125" s="62" t="s">
        <v>42</v>
      </c>
      <c r="AN125" s="62"/>
    </row>
    <row r="126" spans="18:40" ht="12.75" hidden="1">
      <c r="R126" s="29"/>
      <c r="S126" s="29"/>
      <c r="T126" s="29"/>
      <c r="U126" s="29"/>
      <c r="Y126" s="62"/>
      <c r="Z126" s="62"/>
      <c r="AA126" s="62"/>
      <c r="AB126" s="62"/>
      <c r="AC126" s="62"/>
      <c r="AD126" s="62"/>
      <c r="AE126" s="62"/>
      <c r="AF126" s="62"/>
      <c r="AG126" s="62"/>
      <c r="AH126" s="62"/>
      <c r="AI126" s="62"/>
      <c r="AJ126" s="62"/>
      <c r="AK126" s="62"/>
      <c r="AL126" s="62">
        <v>40</v>
      </c>
      <c r="AM126" s="62" t="s">
        <v>44</v>
      </c>
      <c r="AN126" s="62"/>
    </row>
    <row r="127" spans="18:40" ht="12.75" hidden="1">
      <c r="R127" s="29"/>
      <c r="S127" s="29"/>
      <c r="T127" s="29"/>
      <c r="U127" s="29"/>
      <c r="Y127" s="62"/>
      <c r="Z127" s="62"/>
      <c r="AA127" s="62"/>
      <c r="AB127" s="62"/>
      <c r="AC127" s="62"/>
      <c r="AD127" s="62"/>
      <c r="AE127" s="62"/>
      <c r="AF127" s="62"/>
      <c r="AG127" s="62"/>
      <c r="AH127" s="62"/>
      <c r="AI127" s="62"/>
      <c r="AJ127" s="62"/>
      <c r="AK127" s="62"/>
      <c r="AL127" s="62">
        <v>50</v>
      </c>
      <c r="AM127" s="62" t="s">
        <v>46</v>
      </c>
      <c r="AN127" s="62"/>
    </row>
    <row r="128" spans="18:40" ht="12.75" hidden="1">
      <c r="R128" s="29"/>
      <c r="S128" s="29"/>
      <c r="T128" s="29"/>
      <c r="U128" s="29"/>
      <c r="Y128" s="62"/>
      <c r="Z128" s="62"/>
      <c r="AA128" s="62"/>
      <c r="AB128" s="62"/>
      <c r="AC128" s="62"/>
      <c r="AD128" s="62"/>
      <c r="AE128" s="62"/>
      <c r="AF128" s="62"/>
      <c r="AG128" s="62"/>
      <c r="AH128" s="62"/>
      <c r="AI128" s="62"/>
      <c r="AJ128" s="62"/>
      <c r="AK128" s="62"/>
      <c r="AL128" s="62">
        <v>60</v>
      </c>
      <c r="AM128" s="62" t="s">
        <v>48</v>
      </c>
      <c r="AN128" s="62"/>
    </row>
    <row r="129" spans="18:40" ht="12.75" hidden="1">
      <c r="R129" s="29"/>
      <c r="S129" s="29"/>
      <c r="T129" s="29"/>
      <c r="U129" s="29"/>
      <c r="Y129" s="62"/>
      <c r="Z129" s="62"/>
      <c r="AA129" s="62"/>
      <c r="AB129" s="62"/>
      <c r="AC129" s="62"/>
      <c r="AD129" s="62"/>
      <c r="AE129" s="62"/>
      <c r="AF129" s="62"/>
      <c r="AG129" s="62"/>
      <c r="AH129" s="62"/>
      <c r="AI129" s="62"/>
      <c r="AJ129" s="62"/>
      <c r="AK129" s="62"/>
      <c r="AL129" s="62">
        <v>70</v>
      </c>
      <c r="AM129" s="62" t="s">
        <v>50</v>
      </c>
      <c r="AN129" s="62"/>
    </row>
    <row r="130" spans="25:40" ht="12.75" hidden="1">
      <c r="Y130" s="62"/>
      <c r="Z130" s="62"/>
      <c r="AA130" s="62"/>
      <c r="AB130" s="62"/>
      <c r="AC130" s="62"/>
      <c r="AD130" s="62"/>
      <c r="AE130" s="62"/>
      <c r="AF130" s="62"/>
      <c r="AG130" s="62"/>
      <c r="AH130" s="62"/>
      <c r="AI130" s="62"/>
      <c r="AJ130" s="62"/>
      <c r="AK130" s="62"/>
      <c r="AL130" s="62">
        <v>80</v>
      </c>
      <c r="AM130" s="62" t="s">
        <v>52</v>
      </c>
      <c r="AN130" s="62"/>
    </row>
    <row r="131" spans="25:40" ht="12.75" hidden="1">
      <c r="Y131" s="62"/>
      <c r="Z131" s="62"/>
      <c r="AA131" s="62"/>
      <c r="AB131" s="62"/>
      <c r="AC131" s="62"/>
      <c r="AD131" s="62"/>
      <c r="AE131" s="62"/>
      <c r="AF131" s="62"/>
      <c r="AG131" s="62"/>
      <c r="AH131" s="62"/>
      <c r="AI131" s="62"/>
      <c r="AJ131" s="62"/>
      <c r="AK131" s="62"/>
      <c r="AL131" s="62">
        <v>90</v>
      </c>
      <c r="AM131" s="62" t="s">
        <v>54</v>
      </c>
      <c r="AN131" s="62"/>
    </row>
    <row r="132" spans="25:37" ht="12.75" hidden="1">
      <c r="Y132" s="29"/>
      <c r="Z132" s="29"/>
      <c r="AA132" s="29"/>
      <c r="AB132" s="29"/>
      <c r="AC132" s="29"/>
      <c r="AD132" s="29"/>
      <c r="AE132" s="29"/>
      <c r="AF132" s="29"/>
      <c r="AG132" s="29"/>
      <c r="AH132" s="29"/>
      <c r="AI132" s="29"/>
      <c r="AJ132" s="29"/>
      <c r="AK132" s="29"/>
    </row>
    <row r="133" spans="25:37" ht="12.75" hidden="1">
      <c r="Y133" s="29"/>
      <c r="Z133" s="29"/>
      <c r="AA133" s="29"/>
      <c r="AB133" s="29"/>
      <c r="AC133" s="29"/>
      <c r="AD133" s="29"/>
      <c r="AE133" s="29"/>
      <c r="AF133" s="29"/>
      <c r="AG133" s="29"/>
      <c r="AH133" s="29"/>
      <c r="AI133" s="29"/>
      <c r="AJ133" s="29"/>
      <c r="AK133" s="29"/>
    </row>
    <row r="134" spans="25:37" ht="12.75" hidden="1">
      <c r="Y134" s="29"/>
      <c r="Z134" s="29"/>
      <c r="AA134" s="29"/>
      <c r="AB134" s="29"/>
      <c r="AC134" s="29"/>
      <c r="AD134" s="29"/>
      <c r="AE134" s="29"/>
      <c r="AF134" s="29"/>
      <c r="AG134" s="29"/>
      <c r="AH134" s="29"/>
      <c r="AI134" s="29"/>
      <c r="AJ134" s="29"/>
      <c r="AK134" s="29"/>
    </row>
    <row r="135" spans="25:37" ht="12.75" hidden="1">
      <c r="Y135" s="29"/>
      <c r="Z135" s="29"/>
      <c r="AA135" s="29"/>
      <c r="AB135" s="29"/>
      <c r="AC135" s="29"/>
      <c r="AD135" s="29"/>
      <c r="AE135" s="29"/>
      <c r="AF135" s="29"/>
      <c r="AG135" s="29"/>
      <c r="AH135" s="29"/>
      <c r="AI135" s="29"/>
      <c r="AJ135" s="29"/>
      <c r="AK135" s="29"/>
    </row>
    <row r="136" ht="12.75" hidden="1">
      <c r="AH136" s="5"/>
    </row>
    <row r="137" spans="25:37" ht="12.75" hidden="1">
      <c r="Y137" s="29"/>
      <c r="Z137" s="29"/>
      <c r="AA137" s="29"/>
      <c r="AB137" s="29"/>
      <c r="AC137" s="29"/>
      <c r="AD137" s="29"/>
      <c r="AE137" s="29"/>
      <c r="AF137" s="29"/>
      <c r="AG137" s="29"/>
      <c r="AH137" s="29"/>
      <c r="AI137" s="29"/>
      <c r="AJ137" s="29"/>
      <c r="AK137" s="29"/>
    </row>
    <row r="138" spans="25:37" ht="12.75" hidden="1">
      <c r="Y138" s="29"/>
      <c r="Z138" s="29"/>
      <c r="AA138" s="29"/>
      <c r="AB138" s="29"/>
      <c r="AC138" s="29"/>
      <c r="AD138" s="29"/>
      <c r="AE138" s="29"/>
      <c r="AF138" s="29"/>
      <c r="AG138" s="29"/>
      <c r="AH138" s="29"/>
      <c r="AI138" s="29"/>
      <c r="AJ138" s="29"/>
      <c r="AK138" s="29"/>
    </row>
    <row r="139" spans="25:37" ht="12.75" hidden="1">
      <c r="Y139" s="29"/>
      <c r="Z139" s="29"/>
      <c r="AA139" s="29"/>
      <c r="AB139" s="29"/>
      <c r="AC139" s="29"/>
      <c r="AD139" s="29"/>
      <c r="AE139" s="29"/>
      <c r="AF139" s="29"/>
      <c r="AG139" s="29"/>
      <c r="AH139" s="29"/>
      <c r="AI139" s="29"/>
      <c r="AJ139" s="29"/>
      <c r="AK139" s="29"/>
    </row>
    <row r="140" spans="25:37" ht="12.75" hidden="1">
      <c r="Y140" s="29"/>
      <c r="Z140" s="29"/>
      <c r="AA140" s="29"/>
      <c r="AB140" s="29"/>
      <c r="AC140" s="29"/>
      <c r="AD140" s="29"/>
      <c r="AE140" s="29"/>
      <c r="AF140" s="29"/>
      <c r="AG140" s="29"/>
      <c r="AH140" s="29"/>
      <c r="AI140" s="29"/>
      <c r="AJ140" s="29"/>
      <c r="AK140" s="29"/>
    </row>
    <row r="141" spans="25:37" ht="12.75" hidden="1">
      <c r="Y141" s="29"/>
      <c r="Z141" s="29"/>
      <c r="AA141" s="29"/>
      <c r="AB141" s="29"/>
      <c r="AC141" s="29"/>
      <c r="AD141" s="29"/>
      <c r="AE141" s="29"/>
      <c r="AF141" s="29"/>
      <c r="AG141" s="29"/>
      <c r="AH141" s="29"/>
      <c r="AI141" s="29"/>
      <c r="AJ141" s="29"/>
      <c r="AK141" s="29"/>
    </row>
    <row r="142" spans="25:37" ht="12.75" hidden="1">
      <c r="Y142" s="29"/>
      <c r="Z142" s="29"/>
      <c r="AA142" s="29"/>
      <c r="AB142" s="29"/>
      <c r="AC142" s="29"/>
      <c r="AD142" s="29"/>
      <c r="AE142" s="29"/>
      <c r="AF142" s="29"/>
      <c r="AG142" s="29"/>
      <c r="AH142" s="29"/>
      <c r="AI142" s="29"/>
      <c r="AJ142" s="29"/>
      <c r="AK142" s="29"/>
    </row>
    <row r="143" spans="25:37" ht="12.75" hidden="1">
      <c r="Y143" s="29"/>
      <c r="Z143" s="29"/>
      <c r="AA143" s="29"/>
      <c r="AB143" s="29"/>
      <c r="AC143" s="29"/>
      <c r="AD143" s="29"/>
      <c r="AE143" s="29"/>
      <c r="AF143" s="29"/>
      <c r="AG143" s="29"/>
      <c r="AH143" s="29"/>
      <c r="AI143" s="29"/>
      <c r="AJ143" s="29"/>
      <c r="AK143" s="29"/>
    </row>
    <row r="144" spans="25:37" ht="12.75" hidden="1">
      <c r="Y144" s="29"/>
      <c r="Z144" s="29"/>
      <c r="AA144" s="29"/>
      <c r="AB144" s="29"/>
      <c r="AC144" s="29"/>
      <c r="AD144" s="29"/>
      <c r="AE144" s="29"/>
      <c r="AF144" s="29"/>
      <c r="AG144" s="29"/>
      <c r="AH144" s="29"/>
      <c r="AI144" s="29"/>
      <c r="AJ144" s="29"/>
      <c r="AK144" s="29"/>
    </row>
    <row r="145" spans="25:37" ht="12.75" hidden="1">
      <c r="Y145" s="29"/>
      <c r="Z145" s="29"/>
      <c r="AA145" s="29"/>
      <c r="AB145" s="29"/>
      <c r="AC145" s="29"/>
      <c r="AD145" s="29"/>
      <c r="AE145" s="29"/>
      <c r="AF145" s="29"/>
      <c r="AG145" s="29"/>
      <c r="AH145" s="29"/>
      <c r="AI145" s="29"/>
      <c r="AJ145" s="29"/>
      <c r="AK145" s="29"/>
    </row>
    <row r="146" spans="25:37" ht="12.75" hidden="1">
      <c r="Y146" s="29"/>
      <c r="Z146" s="29"/>
      <c r="AA146" s="29"/>
      <c r="AB146" s="29"/>
      <c r="AC146" s="29"/>
      <c r="AD146" s="29"/>
      <c r="AE146" s="29"/>
      <c r="AF146" s="29"/>
      <c r="AG146" s="29"/>
      <c r="AH146" s="29"/>
      <c r="AI146" s="29"/>
      <c r="AJ146" s="29"/>
      <c r="AK146" s="29"/>
    </row>
    <row r="147" spans="25:37" ht="12.75" hidden="1">
      <c r="Y147" s="29"/>
      <c r="Z147" s="29"/>
      <c r="AA147" s="29"/>
      <c r="AB147" s="29"/>
      <c r="AC147" s="29"/>
      <c r="AD147" s="29"/>
      <c r="AE147" s="29"/>
      <c r="AF147" s="29"/>
      <c r="AG147" s="29"/>
      <c r="AH147" s="29"/>
      <c r="AI147" s="29"/>
      <c r="AJ147" s="29"/>
      <c r="AK147" s="29"/>
    </row>
    <row r="148" spans="25:37" ht="12.75" hidden="1">
      <c r="Y148" s="29"/>
      <c r="Z148" s="29"/>
      <c r="AA148" s="29"/>
      <c r="AB148" s="29"/>
      <c r="AC148" s="29"/>
      <c r="AD148" s="29"/>
      <c r="AE148" s="29"/>
      <c r="AF148" s="29"/>
      <c r="AG148" s="29"/>
      <c r="AH148" s="29"/>
      <c r="AI148" s="29"/>
      <c r="AJ148" s="29"/>
      <c r="AK148" s="29"/>
    </row>
    <row r="149" spans="25:37" ht="12.75" hidden="1">
      <c r="Y149" s="29"/>
      <c r="Z149" s="29"/>
      <c r="AA149" s="29"/>
      <c r="AB149" s="29"/>
      <c r="AC149" s="29"/>
      <c r="AD149" s="29"/>
      <c r="AE149" s="29"/>
      <c r="AF149" s="29"/>
      <c r="AG149" s="29"/>
      <c r="AH149" s="29"/>
      <c r="AI149" s="29"/>
      <c r="AJ149" s="29"/>
      <c r="AK149" s="29"/>
    </row>
    <row r="150" spans="25:37" ht="12.75" hidden="1">
      <c r="Y150" s="29"/>
      <c r="Z150" s="29"/>
      <c r="AA150" s="29"/>
      <c r="AB150" s="29"/>
      <c r="AC150" s="29"/>
      <c r="AD150" s="29"/>
      <c r="AE150" s="29"/>
      <c r="AF150" s="29"/>
      <c r="AG150" s="29"/>
      <c r="AH150" s="29"/>
      <c r="AI150" s="29"/>
      <c r="AJ150" s="29"/>
      <c r="AK150" s="29"/>
    </row>
    <row r="151" spans="25:37" ht="12.75" hidden="1">
      <c r="Y151" s="29"/>
      <c r="Z151" s="29"/>
      <c r="AA151" s="29"/>
      <c r="AB151" s="29"/>
      <c r="AC151" s="29"/>
      <c r="AD151" s="29"/>
      <c r="AE151" s="29"/>
      <c r="AF151" s="29"/>
      <c r="AG151" s="29"/>
      <c r="AH151" s="29"/>
      <c r="AI151" s="29"/>
      <c r="AJ151" s="29"/>
      <c r="AK151" s="29"/>
    </row>
    <row r="152" spans="25:37" ht="12.75" hidden="1">
      <c r="Y152" s="29"/>
      <c r="Z152" s="29"/>
      <c r="AA152" s="29"/>
      <c r="AB152" s="29"/>
      <c r="AC152" s="29"/>
      <c r="AD152" s="29"/>
      <c r="AE152" s="29"/>
      <c r="AF152" s="29"/>
      <c r="AG152" s="29"/>
      <c r="AH152" s="29"/>
      <c r="AI152" s="29"/>
      <c r="AJ152" s="29"/>
      <c r="AK152" s="29"/>
    </row>
    <row r="153" spans="25:37" ht="12.75" hidden="1">
      <c r="Y153" s="29"/>
      <c r="Z153" s="29"/>
      <c r="AA153" s="29"/>
      <c r="AB153" s="29"/>
      <c r="AC153" s="29"/>
      <c r="AD153" s="29"/>
      <c r="AE153" s="29"/>
      <c r="AF153" s="29"/>
      <c r="AG153" s="29"/>
      <c r="AH153" s="29"/>
      <c r="AI153" s="29"/>
      <c r="AJ153" s="29"/>
      <c r="AK153" s="29"/>
    </row>
    <row r="154" spans="25:37" ht="12.75" hidden="1">
      <c r="Y154" s="29"/>
      <c r="Z154" s="29"/>
      <c r="AA154" s="29"/>
      <c r="AB154" s="29"/>
      <c r="AC154" s="29"/>
      <c r="AD154" s="29"/>
      <c r="AE154" s="29"/>
      <c r="AF154" s="29"/>
      <c r="AG154" s="29"/>
      <c r="AH154" s="29"/>
      <c r="AI154" s="29"/>
      <c r="AJ154" s="29"/>
      <c r="AK154" s="29"/>
    </row>
    <row r="155" spans="25:37" ht="12.75" hidden="1">
      <c r="Y155" s="29"/>
      <c r="Z155" s="29"/>
      <c r="AA155" s="29"/>
      <c r="AB155" s="29"/>
      <c r="AC155" s="29"/>
      <c r="AD155" s="29"/>
      <c r="AE155" s="29"/>
      <c r="AF155" s="29"/>
      <c r="AG155" s="29"/>
      <c r="AH155" s="29"/>
      <c r="AI155" s="29"/>
      <c r="AJ155" s="29"/>
      <c r="AK155" s="29"/>
    </row>
    <row r="156" spans="25:37" ht="12.75" hidden="1">
      <c r="Y156" s="29"/>
      <c r="Z156" s="29"/>
      <c r="AA156" s="29"/>
      <c r="AB156" s="29"/>
      <c r="AC156" s="29"/>
      <c r="AD156" s="29"/>
      <c r="AE156" s="29"/>
      <c r="AF156" s="29"/>
      <c r="AG156" s="29"/>
      <c r="AH156" s="29"/>
      <c r="AI156" s="29"/>
      <c r="AJ156" s="29"/>
      <c r="AK156" s="29"/>
    </row>
    <row r="157" spans="25:37" ht="12.75" hidden="1">
      <c r="Y157" s="29"/>
      <c r="Z157" s="29"/>
      <c r="AA157" s="29"/>
      <c r="AB157" s="29"/>
      <c r="AC157" s="29"/>
      <c r="AD157" s="29"/>
      <c r="AE157" s="29"/>
      <c r="AF157" s="29"/>
      <c r="AG157" s="29"/>
      <c r="AH157" s="29"/>
      <c r="AI157" s="29"/>
      <c r="AJ157" s="29"/>
      <c r="AK157" s="29"/>
    </row>
    <row r="158" spans="25:37" ht="12.75" hidden="1">
      <c r="Y158" s="29"/>
      <c r="Z158" s="29"/>
      <c r="AA158" s="29"/>
      <c r="AB158" s="29"/>
      <c r="AC158" s="29"/>
      <c r="AD158" s="29"/>
      <c r="AE158" s="29"/>
      <c r="AF158" s="29"/>
      <c r="AG158" s="29"/>
      <c r="AH158" s="29"/>
      <c r="AI158" s="29"/>
      <c r="AJ158" s="29"/>
      <c r="AK158" s="29"/>
    </row>
    <row r="159" spans="25:37" ht="12.75" hidden="1">
      <c r="Y159" s="29"/>
      <c r="Z159" s="29"/>
      <c r="AA159" s="29"/>
      <c r="AB159" s="29"/>
      <c r="AC159" s="29"/>
      <c r="AD159" s="29"/>
      <c r="AE159" s="29"/>
      <c r="AF159" s="29"/>
      <c r="AG159" s="29"/>
      <c r="AH159" s="29"/>
      <c r="AI159" s="29"/>
      <c r="AJ159" s="29"/>
      <c r="AK159" s="29"/>
    </row>
    <row r="160" spans="25:37" ht="12.75" hidden="1">
      <c r="Y160" s="29"/>
      <c r="Z160" s="29"/>
      <c r="AA160" s="29"/>
      <c r="AB160" s="29"/>
      <c r="AC160" s="29"/>
      <c r="AD160" s="29"/>
      <c r="AE160" s="29"/>
      <c r="AF160" s="29"/>
      <c r="AG160" s="29"/>
      <c r="AH160" s="29"/>
      <c r="AI160" s="29"/>
      <c r="AJ160" s="29"/>
      <c r="AK160" s="29"/>
    </row>
    <row r="161" spans="25:37" ht="12.75" hidden="1">
      <c r="Y161" s="29"/>
      <c r="Z161" s="29"/>
      <c r="AA161" s="29"/>
      <c r="AB161" s="29"/>
      <c r="AC161" s="29"/>
      <c r="AD161" s="29"/>
      <c r="AE161" s="29"/>
      <c r="AF161" s="29"/>
      <c r="AG161" s="29"/>
      <c r="AH161" s="29"/>
      <c r="AI161" s="29"/>
      <c r="AJ161" s="29"/>
      <c r="AK161" s="29"/>
    </row>
    <row r="162" spans="25:37" ht="12.75" hidden="1">
      <c r="Y162" s="29"/>
      <c r="Z162" s="29"/>
      <c r="AA162" s="29"/>
      <c r="AB162" s="29"/>
      <c r="AC162" s="29"/>
      <c r="AD162" s="29"/>
      <c r="AE162" s="29"/>
      <c r="AF162" s="29"/>
      <c r="AG162" s="29"/>
      <c r="AH162" s="29"/>
      <c r="AI162" s="29"/>
      <c r="AJ162" s="29"/>
      <c r="AK162" s="29"/>
    </row>
    <row r="163" spans="25:37" ht="12.75" hidden="1">
      <c r="Y163" s="29"/>
      <c r="Z163" s="29"/>
      <c r="AA163" s="29"/>
      <c r="AB163" s="29"/>
      <c r="AC163" s="29"/>
      <c r="AD163" s="29"/>
      <c r="AE163" s="29"/>
      <c r="AF163" s="29"/>
      <c r="AG163" s="29"/>
      <c r="AH163" s="29"/>
      <c r="AI163" s="29"/>
      <c r="AJ163" s="29"/>
      <c r="AK163" s="29"/>
    </row>
    <row r="164" ht="12.75" hidden="1">
      <c r="AH164" s="5"/>
    </row>
    <row r="165" ht="12.75" hidden="1">
      <c r="AH165" s="5"/>
    </row>
    <row r="166" spans="25:37" ht="12.75" hidden="1">
      <c r="Y166" s="29"/>
      <c r="Z166" s="29"/>
      <c r="AA166" s="29"/>
      <c r="AB166" s="29"/>
      <c r="AC166" s="29"/>
      <c r="AD166" s="29"/>
      <c r="AE166" s="29"/>
      <c r="AF166" s="29"/>
      <c r="AG166" s="29"/>
      <c r="AH166" s="29"/>
      <c r="AI166" s="29"/>
      <c r="AJ166" s="29"/>
      <c r="AK166" s="29"/>
    </row>
    <row r="167" spans="25:37" ht="12.75" hidden="1">
      <c r="Y167" s="29"/>
      <c r="Z167" s="29"/>
      <c r="AA167" s="29"/>
      <c r="AB167" s="29"/>
      <c r="AC167" s="29"/>
      <c r="AD167" s="29"/>
      <c r="AE167" s="29"/>
      <c r="AF167" s="29"/>
      <c r="AG167" s="29"/>
      <c r="AH167" s="29"/>
      <c r="AI167" s="29"/>
      <c r="AJ167" s="29"/>
      <c r="AK167" s="29"/>
    </row>
    <row r="168" spans="25:37" ht="12.75" hidden="1">
      <c r="Y168" s="29"/>
      <c r="Z168" s="29"/>
      <c r="AA168" s="29"/>
      <c r="AB168" s="29"/>
      <c r="AC168" s="29"/>
      <c r="AD168" s="29"/>
      <c r="AE168" s="29"/>
      <c r="AF168" s="29"/>
      <c r="AG168" s="29"/>
      <c r="AH168" s="29"/>
      <c r="AI168" s="29"/>
      <c r="AJ168" s="29"/>
      <c r="AK168" s="29"/>
    </row>
    <row r="169" spans="25:37" ht="12.75" hidden="1">
      <c r="Y169" s="29"/>
      <c r="Z169" s="29"/>
      <c r="AA169" s="29"/>
      <c r="AB169" s="29"/>
      <c r="AC169" s="29"/>
      <c r="AD169" s="29"/>
      <c r="AE169" s="29"/>
      <c r="AF169" s="29"/>
      <c r="AG169" s="29"/>
      <c r="AH169" s="29"/>
      <c r="AI169" s="29"/>
      <c r="AJ169" s="29"/>
      <c r="AK169" s="29"/>
    </row>
    <row r="170" spans="25:37" ht="12.75" hidden="1">
      <c r="Y170" s="29"/>
      <c r="Z170" s="29"/>
      <c r="AA170" s="29"/>
      <c r="AB170" s="29"/>
      <c r="AC170" s="29"/>
      <c r="AD170" s="29"/>
      <c r="AE170" s="29"/>
      <c r="AF170" s="29"/>
      <c r="AG170" s="29"/>
      <c r="AH170" s="29"/>
      <c r="AI170" s="29"/>
      <c r="AJ170" s="29"/>
      <c r="AK170" s="29"/>
    </row>
    <row r="171" spans="25:37" ht="12.75" hidden="1">
      <c r="Y171" s="29"/>
      <c r="Z171" s="29"/>
      <c r="AA171" s="29"/>
      <c r="AB171" s="29"/>
      <c r="AC171" s="29"/>
      <c r="AD171" s="29"/>
      <c r="AE171" s="29"/>
      <c r="AF171" s="29"/>
      <c r="AG171" s="29"/>
      <c r="AH171" s="29"/>
      <c r="AI171" s="29"/>
      <c r="AJ171" s="29"/>
      <c r="AK171" s="29"/>
    </row>
    <row r="172" spans="25:37" ht="12.75" hidden="1">
      <c r="Y172" s="29"/>
      <c r="Z172" s="29"/>
      <c r="AA172" s="29"/>
      <c r="AB172" s="29"/>
      <c r="AC172" s="29"/>
      <c r="AD172" s="29"/>
      <c r="AE172" s="29"/>
      <c r="AF172" s="29"/>
      <c r="AG172" s="29"/>
      <c r="AH172" s="29"/>
      <c r="AI172" s="29"/>
      <c r="AJ172" s="29"/>
      <c r="AK172" s="29"/>
    </row>
    <row r="173" spans="25:37" ht="12.75" hidden="1">
      <c r="Y173" s="29"/>
      <c r="Z173" s="29"/>
      <c r="AA173" s="29"/>
      <c r="AB173" s="29"/>
      <c r="AC173" s="29"/>
      <c r="AD173" s="29"/>
      <c r="AE173" s="29"/>
      <c r="AF173" s="29"/>
      <c r="AG173" s="29"/>
      <c r="AH173" s="29"/>
      <c r="AI173" s="29"/>
      <c r="AJ173" s="29"/>
      <c r="AK173" s="29"/>
    </row>
    <row r="174" spans="25:37" ht="12.75" hidden="1">
      <c r="Y174" s="29"/>
      <c r="Z174" s="29"/>
      <c r="AA174" s="29"/>
      <c r="AB174" s="29"/>
      <c r="AC174" s="29"/>
      <c r="AD174" s="29"/>
      <c r="AE174" s="29"/>
      <c r="AF174" s="29"/>
      <c r="AG174" s="29"/>
      <c r="AH174" s="29"/>
      <c r="AI174" s="29"/>
      <c r="AJ174" s="29"/>
      <c r="AK174" s="29"/>
    </row>
    <row r="175" spans="25:37" ht="12.75" hidden="1">
      <c r="Y175" s="29"/>
      <c r="Z175" s="29"/>
      <c r="AA175" s="29"/>
      <c r="AB175" s="29"/>
      <c r="AC175" s="29"/>
      <c r="AD175" s="29"/>
      <c r="AE175" s="29"/>
      <c r="AF175" s="29"/>
      <c r="AG175" s="29"/>
      <c r="AH175" s="29"/>
      <c r="AI175" s="29"/>
      <c r="AJ175" s="29"/>
      <c r="AK175" s="29"/>
    </row>
    <row r="176" spans="25:37" ht="12.75" hidden="1">
      <c r="Y176" s="29"/>
      <c r="Z176" s="29"/>
      <c r="AA176" s="29"/>
      <c r="AB176" s="29"/>
      <c r="AC176" s="29"/>
      <c r="AD176" s="29"/>
      <c r="AE176" s="29"/>
      <c r="AF176" s="29"/>
      <c r="AG176" s="29"/>
      <c r="AH176" s="29"/>
      <c r="AI176" s="29"/>
      <c r="AJ176" s="29"/>
      <c r="AK176" s="29"/>
    </row>
    <row r="177" spans="25:37" ht="12.75" hidden="1">
      <c r="Y177" s="29"/>
      <c r="Z177" s="29"/>
      <c r="AA177" s="29"/>
      <c r="AB177" s="29"/>
      <c r="AC177" s="29"/>
      <c r="AD177" s="29"/>
      <c r="AE177" s="29"/>
      <c r="AF177" s="29"/>
      <c r="AG177" s="29"/>
      <c r="AH177" s="29"/>
      <c r="AI177" s="29"/>
      <c r="AJ177" s="29"/>
      <c r="AK177" s="29"/>
    </row>
    <row r="178" spans="25:37" ht="12.75" hidden="1">
      <c r="Y178" s="29"/>
      <c r="Z178" s="29"/>
      <c r="AA178" s="29"/>
      <c r="AB178" s="29"/>
      <c r="AC178" s="29"/>
      <c r="AD178" s="29"/>
      <c r="AE178" s="29"/>
      <c r="AF178" s="29"/>
      <c r="AG178" s="29"/>
      <c r="AH178" s="29"/>
      <c r="AI178" s="29"/>
      <c r="AJ178" s="29"/>
      <c r="AK178" s="29"/>
    </row>
    <row r="179" spans="25:37" ht="12.75" hidden="1">
      <c r="Y179" s="29"/>
      <c r="Z179" s="29"/>
      <c r="AA179" s="29"/>
      <c r="AB179" s="29"/>
      <c r="AC179" s="29"/>
      <c r="AD179" s="29"/>
      <c r="AE179" s="29"/>
      <c r="AF179" s="29"/>
      <c r="AG179" s="29"/>
      <c r="AH179" s="29"/>
      <c r="AI179" s="29"/>
      <c r="AJ179" s="29"/>
      <c r="AK179" s="29"/>
    </row>
    <row r="180" spans="25:37" ht="12.75" hidden="1">
      <c r="Y180" s="29"/>
      <c r="Z180" s="29"/>
      <c r="AA180" s="29"/>
      <c r="AB180" s="29"/>
      <c r="AC180" s="29"/>
      <c r="AD180" s="29"/>
      <c r="AE180" s="29"/>
      <c r="AF180" s="29"/>
      <c r="AG180" s="29"/>
      <c r="AH180" s="29"/>
      <c r="AI180" s="29"/>
      <c r="AJ180" s="29"/>
      <c r="AK180" s="29"/>
    </row>
    <row r="181" spans="25:37" ht="12.75" hidden="1">
      <c r="Y181" s="29"/>
      <c r="Z181" s="29"/>
      <c r="AA181" s="29"/>
      <c r="AB181" s="29"/>
      <c r="AC181" s="29"/>
      <c r="AD181" s="29"/>
      <c r="AE181" s="29"/>
      <c r="AF181" s="29"/>
      <c r="AG181" s="29"/>
      <c r="AH181" s="29"/>
      <c r="AI181" s="29"/>
      <c r="AJ181" s="29"/>
      <c r="AK181" s="29"/>
    </row>
    <row r="182" spans="25:37" ht="12.75" hidden="1">
      <c r="Y182" s="29"/>
      <c r="Z182" s="29"/>
      <c r="AA182" s="29"/>
      <c r="AB182" s="29"/>
      <c r="AC182" s="29"/>
      <c r="AD182" s="29"/>
      <c r="AE182" s="29"/>
      <c r="AF182" s="29"/>
      <c r="AG182" s="29"/>
      <c r="AH182" s="29"/>
      <c r="AI182" s="29"/>
      <c r="AJ182" s="29"/>
      <c r="AK182" s="29"/>
    </row>
    <row r="183" spans="25:37" ht="12.75" hidden="1">
      <c r="Y183" s="29"/>
      <c r="Z183" s="29"/>
      <c r="AA183" s="29"/>
      <c r="AB183" s="29"/>
      <c r="AC183" s="29"/>
      <c r="AD183" s="29"/>
      <c r="AE183" s="29"/>
      <c r="AF183" s="29"/>
      <c r="AG183" s="29"/>
      <c r="AH183" s="29"/>
      <c r="AI183" s="29"/>
      <c r="AJ183" s="29"/>
      <c r="AK183" s="29"/>
    </row>
    <row r="184" spans="25:37" ht="12.75" hidden="1">
      <c r="Y184" s="29"/>
      <c r="Z184" s="29"/>
      <c r="AA184" s="29"/>
      <c r="AB184" s="29"/>
      <c r="AC184" s="29"/>
      <c r="AD184" s="29"/>
      <c r="AE184" s="29"/>
      <c r="AF184" s="29"/>
      <c r="AG184" s="29"/>
      <c r="AH184" s="29"/>
      <c r="AI184" s="29"/>
      <c r="AJ184" s="29"/>
      <c r="AK184" s="29"/>
    </row>
    <row r="185" spans="25:37" ht="12.75" hidden="1">
      <c r="Y185" s="29"/>
      <c r="Z185" s="29"/>
      <c r="AA185" s="29"/>
      <c r="AB185" s="29"/>
      <c r="AC185" s="29"/>
      <c r="AD185" s="29"/>
      <c r="AE185" s="29"/>
      <c r="AF185" s="29"/>
      <c r="AG185" s="29"/>
      <c r="AH185" s="29"/>
      <c r="AI185" s="29"/>
      <c r="AJ185" s="29"/>
      <c r="AK185" s="29"/>
    </row>
    <row r="186" spans="25:37" ht="12.75" hidden="1">
      <c r="Y186" s="29"/>
      <c r="Z186" s="29"/>
      <c r="AA186" s="29"/>
      <c r="AB186" s="29"/>
      <c r="AC186" s="29"/>
      <c r="AD186" s="29"/>
      <c r="AE186" s="29"/>
      <c r="AF186" s="29"/>
      <c r="AG186" s="29"/>
      <c r="AH186" s="29"/>
      <c r="AI186" s="29"/>
      <c r="AJ186" s="29"/>
      <c r="AK186" s="29"/>
    </row>
    <row r="187" spans="25:37" ht="12.75" hidden="1">
      <c r="Y187" s="29"/>
      <c r="Z187" s="29"/>
      <c r="AA187" s="29"/>
      <c r="AB187" s="29"/>
      <c r="AC187" s="29"/>
      <c r="AD187" s="29"/>
      <c r="AE187" s="29"/>
      <c r="AF187" s="29"/>
      <c r="AG187" s="29"/>
      <c r="AH187" s="29"/>
      <c r="AI187" s="29"/>
      <c r="AJ187" s="29"/>
      <c r="AK187" s="29"/>
    </row>
    <row r="188" spans="25:37" ht="12.75" hidden="1">
      <c r="Y188" s="29"/>
      <c r="Z188" s="29"/>
      <c r="AA188" s="29"/>
      <c r="AB188" s="29"/>
      <c r="AC188" s="29"/>
      <c r="AD188" s="29"/>
      <c r="AE188" s="29"/>
      <c r="AF188" s="29"/>
      <c r="AG188" s="29"/>
      <c r="AH188" s="29"/>
      <c r="AI188" s="29"/>
      <c r="AJ188" s="29"/>
      <c r="AK188" s="29"/>
    </row>
    <row r="189" spans="25:37" ht="12.75" hidden="1">
      <c r="Y189" s="29"/>
      <c r="Z189" s="29"/>
      <c r="AA189" s="29"/>
      <c r="AB189" s="29"/>
      <c r="AC189" s="29"/>
      <c r="AD189" s="29"/>
      <c r="AE189" s="29"/>
      <c r="AF189" s="29"/>
      <c r="AG189" s="29"/>
      <c r="AH189" s="29"/>
      <c r="AI189" s="29"/>
      <c r="AJ189" s="29"/>
      <c r="AK189" s="29"/>
    </row>
    <row r="190" spans="25:37" ht="12.75" hidden="1">
      <c r="Y190" s="29"/>
      <c r="Z190" s="29"/>
      <c r="AA190" s="29"/>
      <c r="AB190" s="29"/>
      <c r="AC190" s="29"/>
      <c r="AD190" s="29"/>
      <c r="AE190" s="29"/>
      <c r="AF190" s="29"/>
      <c r="AG190" s="29"/>
      <c r="AH190" s="29"/>
      <c r="AI190" s="29"/>
      <c r="AJ190" s="29"/>
      <c r="AK190" s="29"/>
    </row>
    <row r="191" spans="25:37" ht="12.75" hidden="1">
      <c r="Y191" s="29"/>
      <c r="Z191" s="29"/>
      <c r="AA191" s="29"/>
      <c r="AB191" s="29"/>
      <c r="AC191" s="29"/>
      <c r="AD191" s="29"/>
      <c r="AE191" s="29"/>
      <c r="AF191" s="29"/>
      <c r="AG191" s="29"/>
      <c r="AH191" s="29"/>
      <c r="AI191" s="29"/>
      <c r="AJ191" s="29"/>
      <c r="AK191" s="29"/>
    </row>
    <row r="192" spans="25:37" ht="12.75" hidden="1">
      <c r="Y192" s="29"/>
      <c r="Z192" s="29"/>
      <c r="AA192" s="29"/>
      <c r="AB192" s="29"/>
      <c r="AC192" s="29"/>
      <c r="AD192" s="29"/>
      <c r="AE192" s="29"/>
      <c r="AF192" s="29"/>
      <c r="AG192" s="29"/>
      <c r="AH192" s="29"/>
      <c r="AI192" s="29"/>
      <c r="AJ192" s="29"/>
      <c r="AK192" s="29"/>
    </row>
    <row r="193" ht="12.75" hidden="1">
      <c r="AH193" s="5"/>
    </row>
    <row r="194" ht="12.75" hidden="1">
      <c r="AH194" s="5"/>
    </row>
    <row r="195" ht="12.75" hidden="1">
      <c r="AH195" s="5"/>
    </row>
    <row r="196" ht="12.75" hidden="1">
      <c r="AH196" s="5"/>
    </row>
    <row r="197" ht="12.75" hidden="1">
      <c r="AH197" s="5"/>
    </row>
    <row r="198" ht="12.75" hidden="1">
      <c r="AH198" s="5"/>
    </row>
    <row r="199" ht="12.75" hidden="1">
      <c r="AH199" s="5"/>
    </row>
    <row r="200" ht="12.75" hidden="1">
      <c r="AH200" s="5"/>
    </row>
    <row r="201" ht="12.75" hidden="1">
      <c r="AH201" s="5"/>
    </row>
    <row r="202" ht="12.75" hidden="1">
      <c r="AH202" s="5"/>
    </row>
    <row r="203" ht="12.75" hidden="1">
      <c r="AH203" s="5"/>
    </row>
    <row r="204" ht="12.75" hidden="1">
      <c r="AH204" s="5"/>
    </row>
    <row r="205" ht="12.75" hidden="1">
      <c r="AH205" s="5"/>
    </row>
    <row r="206" ht="12.75" hidden="1">
      <c r="AH206" s="5"/>
    </row>
    <row r="207" ht="12.75" hidden="1">
      <c r="AH207" s="5"/>
    </row>
    <row r="208" ht="12.75" hidden="1">
      <c r="AH208" s="5"/>
    </row>
    <row r="209" ht="12.75" hidden="1">
      <c r="AH209" s="5"/>
    </row>
    <row r="210" ht="12.75" hidden="1">
      <c r="AH210" s="5"/>
    </row>
    <row r="211" ht="12.75" hidden="1">
      <c r="AH211" s="5"/>
    </row>
    <row r="212" ht="12.75" hidden="1">
      <c r="AH212" s="5"/>
    </row>
    <row r="213" ht="12.75" hidden="1">
      <c r="AH213" s="5"/>
    </row>
    <row r="214" ht="12.75" hidden="1">
      <c r="AH214" s="5"/>
    </row>
    <row r="215" ht="12.75" hidden="1">
      <c r="AH215" s="5"/>
    </row>
    <row r="216" ht="12.75" hidden="1">
      <c r="AH216" s="5"/>
    </row>
    <row r="217" ht="12.75" hidden="1">
      <c r="AH217" s="5"/>
    </row>
    <row r="218" ht="12.75" hidden="1">
      <c r="AH218" s="5"/>
    </row>
    <row r="219" ht="12.75" hidden="1">
      <c r="AH219" s="5"/>
    </row>
    <row r="220" ht="12.75" hidden="1">
      <c r="AH220" s="5"/>
    </row>
    <row r="221" ht="12.75" hidden="1">
      <c r="AH221" s="5"/>
    </row>
    <row r="222" ht="12.75" hidden="1">
      <c r="AH222" s="5"/>
    </row>
    <row r="223" ht="12.75" hidden="1">
      <c r="AH223" s="5"/>
    </row>
    <row r="224" ht="12.75" hidden="1">
      <c r="AH224" s="5"/>
    </row>
    <row r="225" ht="12.75" hidden="1">
      <c r="AH225" s="5"/>
    </row>
    <row r="226" ht="12.75" hidden="1">
      <c r="AH226" s="5"/>
    </row>
    <row r="227" ht="12.75" hidden="1">
      <c r="AH227" s="5"/>
    </row>
    <row r="228" ht="12.75" hidden="1">
      <c r="AH228" s="5"/>
    </row>
    <row r="229" ht="12.75" hidden="1">
      <c r="AH229" s="5"/>
    </row>
    <row r="230" ht="12.75" hidden="1">
      <c r="AH230" s="5"/>
    </row>
    <row r="231" ht="12.75" hidden="1">
      <c r="AH231" s="5"/>
    </row>
    <row r="232" ht="12.75" hidden="1">
      <c r="AH232" s="5"/>
    </row>
    <row r="233" ht="12.75" hidden="1">
      <c r="AH233" s="5"/>
    </row>
    <row r="234" ht="12.75" hidden="1">
      <c r="AH234" s="5"/>
    </row>
    <row r="235" ht="12.75" hidden="1">
      <c r="AH235" s="5"/>
    </row>
    <row r="236" ht="12.75" hidden="1">
      <c r="AH236" s="5"/>
    </row>
    <row r="237" ht="12.75" hidden="1">
      <c r="AH237" s="5"/>
    </row>
    <row r="238" ht="12.75" hidden="1">
      <c r="AH238" s="5"/>
    </row>
    <row r="239" ht="12.75" hidden="1">
      <c r="AH239" s="5"/>
    </row>
    <row r="240" ht="12.75" hidden="1">
      <c r="AH240" s="5"/>
    </row>
    <row r="241" ht="12.75" hidden="1">
      <c r="AH241" s="5"/>
    </row>
    <row r="242" ht="12.75" hidden="1">
      <c r="AH242" s="5"/>
    </row>
    <row r="243" ht="12.75" hidden="1">
      <c r="AH243" s="5"/>
    </row>
    <row r="244" ht="12.75" hidden="1">
      <c r="AH244" s="5"/>
    </row>
    <row r="245" ht="12.75" hidden="1">
      <c r="AH245" s="5"/>
    </row>
    <row r="246" ht="12.75" hidden="1">
      <c r="AH246" s="5"/>
    </row>
    <row r="247" ht="12.75" hidden="1">
      <c r="AH247" s="5"/>
    </row>
    <row r="248" ht="12.75" hidden="1">
      <c r="AH248" s="5"/>
    </row>
    <row r="249" ht="12.75" hidden="1">
      <c r="AH249" s="5"/>
    </row>
    <row r="250" ht="12.75" hidden="1">
      <c r="AH250" s="5"/>
    </row>
    <row r="251" ht="12.75" hidden="1">
      <c r="AH251" s="5"/>
    </row>
    <row r="252" ht="12.75" hidden="1">
      <c r="AH252" s="5"/>
    </row>
    <row r="253" ht="12.75" hidden="1">
      <c r="AH253" s="5"/>
    </row>
    <row r="254" ht="12.75" hidden="1">
      <c r="AH254" s="5"/>
    </row>
    <row r="255" ht="12.75" hidden="1">
      <c r="AH255" s="5"/>
    </row>
    <row r="256" ht="12.75" hidden="1">
      <c r="AH256" s="5"/>
    </row>
    <row r="257" ht="12.75" hidden="1">
      <c r="AH257" s="5"/>
    </row>
    <row r="258" ht="12.75" hidden="1">
      <c r="AH258" s="5"/>
    </row>
    <row r="259" ht="12.75" hidden="1">
      <c r="AH259" s="5"/>
    </row>
    <row r="260" ht="12.75" hidden="1">
      <c r="AH260" s="5"/>
    </row>
    <row r="261" ht="12.75" hidden="1">
      <c r="AH261" s="5"/>
    </row>
    <row r="262" ht="12.75" hidden="1">
      <c r="AH262" s="5"/>
    </row>
    <row r="263" ht="12.75" hidden="1">
      <c r="AH263" s="5"/>
    </row>
    <row r="264" ht="12.75" hidden="1">
      <c r="AH264" s="5"/>
    </row>
    <row r="265" ht="12.75" hidden="1">
      <c r="AH265" s="5"/>
    </row>
    <row r="266" ht="12.75" hidden="1">
      <c r="AH266" s="5"/>
    </row>
    <row r="267" ht="12.75" hidden="1">
      <c r="AH267" s="5"/>
    </row>
    <row r="268" ht="12.75" hidden="1">
      <c r="AH268" s="5"/>
    </row>
    <row r="269" ht="12.75" hidden="1">
      <c r="AH269" s="5"/>
    </row>
    <row r="270" ht="12.75" hidden="1">
      <c r="AH270" s="5"/>
    </row>
    <row r="271" ht="12.75" hidden="1">
      <c r="AH271" s="5"/>
    </row>
    <row r="272" ht="12.75" hidden="1">
      <c r="AH272" s="5"/>
    </row>
    <row r="273" ht="12.75" hidden="1">
      <c r="AH273" s="5"/>
    </row>
    <row r="274" ht="12.75" hidden="1">
      <c r="AH274" s="5"/>
    </row>
    <row r="275" ht="12.75" hidden="1">
      <c r="AH275" s="5"/>
    </row>
    <row r="276" ht="12.75" hidden="1">
      <c r="AH276" s="5"/>
    </row>
    <row r="277" ht="12.75" hidden="1">
      <c r="AH277" s="5"/>
    </row>
    <row r="278" ht="12.75" hidden="1">
      <c r="AH278" s="5"/>
    </row>
    <row r="279" ht="12.75" hidden="1">
      <c r="AH279" s="5"/>
    </row>
    <row r="280" ht="12.75" hidden="1">
      <c r="AH280" s="5"/>
    </row>
    <row r="281" ht="12.75" hidden="1">
      <c r="AH281" s="5"/>
    </row>
    <row r="282" ht="12.75" hidden="1">
      <c r="AH282" s="5"/>
    </row>
    <row r="283" ht="12.75" hidden="1">
      <c r="AH283" s="5"/>
    </row>
    <row r="284" ht="12.75" hidden="1">
      <c r="AH284" s="5"/>
    </row>
    <row r="285" ht="12.75" hidden="1">
      <c r="AH285" s="5"/>
    </row>
    <row r="286" ht="12.75" hidden="1">
      <c r="AH286" s="5"/>
    </row>
    <row r="287" ht="12.75" hidden="1">
      <c r="AH287" s="5"/>
    </row>
    <row r="288" ht="12.75" hidden="1">
      <c r="AH288" s="5"/>
    </row>
    <row r="289" ht="12.75" hidden="1">
      <c r="AH289" s="5"/>
    </row>
    <row r="290" ht="12.75" hidden="1">
      <c r="AH290" s="5"/>
    </row>
    <row r="291" ht="12.75" hidden="1">
      <c r="AH291" s="5"/>
    </row>
    <row r="292" ht="12.75" hidden="1">
      <c r="AH292" s="5"/>
    </row>
    <row r="293" ht="12.75" hidden="1">
      <c r="AH293" s="5"/>
    </row>
    <row r="294" ht="12.75" hidden="1">
      <c r="AH294" s="5"/>
    </row>
    <row r="295" ht="12.75" hidden="1">
      <c r="AH295" s="5"/>
    </row>
    <row r="296" ht="12.75" hidden="1">
      <c r="AH296" s="5"/>
    </row>
    <row r="297" ht="12.75" hidden="1">
      <c r="AH297" s="5"/>
    </row>
    <row r="298" ht="12.75" hidden="1">
      <c r="AH298" s="5"/>
    </row>
    <row r="299" ht="12.75" hidden="1">
      <c r="AH299" s="5"/>
    </row>
    <row r="300" ht="12.75" hidden="1">
      <c r="AH300" s="5"/>
    </row>
    <row r="301" ht="12.75" hidden="1">
      <c r="AH301" s="5"/>
    </row>
    <row r="302" ht="12.75" hidden="1">
      <c r="AH302" s="5"/>
    </row>
    <row r="303" ht="12.75" hidden="1">
      <c r="AH303" s="5"/>
    </row>
    <row r="304" ht="12.75" hidden="1">
      <c r="AH304" s="5"/>
    </row>
    <row r="305" ht="12.75" hidden="1">
      <c r="AH305" s="5"/>
    </row>
    <row r="306" ht="12.75" hidden="1">
      <c r="AH306" s="5"/>
    </row>
    <row r="307" ht="12.75" hidden="1">
      <c r="AH307" s="5"/>
    </row>
    <row r="308" ht="12.75" hidden="1">
      <c r="AH308" s="5"/>
    </row>
    <row r="309" ht="12.75" hidden="1">
      <c r="AH309" s="5"/>
    </row>
    <row r="310" ht="12.75" hidden="1">
      <c r="AH310" s="5"/>
    </row>
    <row r="311" ht="12.75" hidden="1">
      <c r="AH311" s="5"/>
    </row>
    <row r="312" ht="12.75" hidden="1">
      <c r="AH312" s="5"/>
    </row>
    <row r="313" ht="12.75" hidden="1">
      <c r="AH313" s="5"/>
    </row>
    <row r="314" ht="12.75" hidden="1">
      <c r="AH314" s="5"/>
    </row>
    <row r="315" ht="12.75" hidden="1">
      <c r="AH315" s="5"/>
    </row>
    <row r="316" ht="12.75" hidden="1">
      <c r="AH316" s="5"/>
    </row>
    <row r="317" ht="12.75" hidden="1">
      <c r="AH317" s="5"/>
    </row>
    <row r="318" ht="12.75" hidden="1">
      <c r="AH318" s="5"/>
    </row>
    <row r="319" ht="12.75" hidden="1">
      <c r="AH319" s="5"/>
    </row>
    <row r="320" ht="12.75" hidden="1">
      <c r="AH320" s="5"/>
    </row>
    <row r="321" ht="12.75" hidden="1">
      <c r="AH321" s="5"/>
    </row>
    <row r="322" ht="12.75" hidden="1">
      <c r="AH322" s="5"/>
    </row>
    <row r="323" ht="12.75" hidden="1">
      <c r="AH323" s="5"/>
    </row>
    <row r="324" ht="12.75" hidden="1">
      <c r="AH324" s="5"/>
    </row>
  </sheetData>
  <sheetProtection password="D590" sheet="1" selectLockedCells="1"/>
  <mergeCells count="29">
    <mergeCell ref="J35:M35"/>
    <mergeCell ref="C39:T39"/>
    <mergeCell ref="C40:U40"/>
    <mergeCell ref="C41:U41"/>
    <mergeCell ref="C42:U42"/>
    <mergeCell ref="O46:T46"/>
    <mergeCell ref="F25:L25"/>
    <mergeCell ref="G30:L30"/>
    <mergeCell ref="Y30:AA30"/>
    <mergeCell ref="G32:I32"/>
    <mergeCell ref="J32:T32"/>
    <mergeCell ref="C33:T33"/>
    <mergeCell ref="B14:B36"/>
    <mergeCell ref="O14:P14"/>
    <mergeCell ref="C15:E15"/>
    <mergeCell ref="N15:N16"/>
    <mergeCell ref="F17:L17"/>
    <mergeCell ref="N17:N18"/>
    <mergeCell ref="F19:L19"/>
    <mergeCell ref="N19:N20"/>
    <mergeCell ref="F21:L21"/>
    <mergeCell ref="F23:L23"/>
    <mergeCell ref="C3:T3"/>
    <mergeCell ref="C4:T4"/>
    <mergeCell ref="P5:T5"/>
    <mergeCell ref="P8:Q8"/>
    <mergeCell ref="E9:M9"/>
    <mergeCell ref="J11:M11"/>
    <mergeCell ref="P11:T11"/>
  </mergeCells>
  <dataValidations count="1">
    <dataValidation type="list" allowBlank="1" showInputMessage="1" showErrorMessage="1" sqref="F65536:M65536">
      <formula1>"HEAD MASTER,HEAD MISTRESS,MANDAL EDUCATIONAL OFFICER"</formula1>
    </dataValidation>
  </dataValidations>
  <printOptions horizontalCentered="1"/>
  <pageMargins left="0.26" right="0.118110236220472" top="0.57" bottom="0.32" header="0.45" footer="0.37"/>
  <pageSetup horizontalDpi="180" verticalDpi="18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manish</dc:creator>
  <cp:keywords/>
  <dc:description/>
  <cp:lastModifiedBy>admin</cp:lastModifiedBy>
  <cp:lastPrinted>2014-01-07T08:29:25Z</cp:lastPrinted>
  <dcterms:created xsi:type="dcterms:W3CDTF">2012-05-09T16:47:25Z</dcterms:created>
  <dcterms:modified xsi:type="dcterms:W3CDTF">2014-05-13T13:26:32Z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